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4055"/>
  </bookViews>
  <sheets>
    <sheet name="Feuil1" sheetId="1" r:id="rId1"/>
    <sheet name="Feuil2" sheetId="2" r:id="rId2"/>
  </sheets>
  <definedNames>
    <definedName name="_V" localSheetId="0">Feuil1!$F$23</definedName>
    <definedName name="coeff_k">#REF!</definedName>
    <definedName name="D" localSheetId="0">Feuil1!$G$20</definedName>
    <definedName name="g" localSheetId="0">Feuil1!$F$16</definedName>
    <definedName name="k" localSheetId="0">Feuil1!$G$19</definedName>
    <definedName name="p">Feuil1!$G$21</definedName>
    <definedName name="S" localSheetId="0">Feuil1!$F$21</definedName>
    <definedName name="v" localSheetId="0">Feuil1!$F$17</definedName>
  </definedNames>
  <calcPr calcId="145621"/>
</workbook>
</file>

<file path=xl/calcChain.xml><?xml version="1.0" encoding="utf-8"?>
<calcChain xmlns="http://schemas.openxmlformats.org/spreadsheetml/2006/main">
  <c r="AD86" i="1" l="1"/>
  <c r="AD89" i="1"/>
  <c r="T89" i="1"/>
  <c r="U89" i="1" s="1"/>
  <c r="E89" i="1"/>
  <c r="F89" i="1" s="1"/>
  <c r="T88" i="1"/>
  <c r="U88" i="1" s="1"/>
  <c r="X88" i="1" s="1"/>
  <c r="E88" i="1"/>
  <c r="F88" i="1" s="1"/>
  <c r="T87" i="1"/>
  <c r="U87" i="1" s="1"/>
  <c r="X87" i="1" s="1"/>
  <c r="E87" i="1"/>
  <c r="F87" i="1" s="1"/>
  <c r="T86" i="1"/>
  <c r="U86" i="1" s="1"/>
  <c r="E86" i="1"/>
  <c r="F86" i="1" s="1"/>
  <c r="T85" i="1"/>
  <c r="U85" i="1" s="1"/>
  <c r="W85" i="1" s="1"/>
  <c r="E85" i="1"/>
  <c r="F85" i="1" s="1"/>
  <c r="T84" i="1"/>
  <c r="U84" i="1" s="1"/>
  <c r="W84" i="1" s="1"/>
  <c r="E84" i="1"/>
  <c r="F84" i="1" s="1"/>
  <c r="T83" i="1"/>
  <c r="U83" i="1" s="1"/>
  <c r="W83" i="1" s="1"/>
  <c r="E83" i="1"/>
  <c r="F83" i="1" s="1"/>
  <c r="T82" i="1"/>
  <c r="U82" i="1" s="1"/>
  <c r="W82" i="1" s="1"/>
  <c r="E82" i="1"/>
  <c r="F82" i="1" s="1"/>
  <c r="T81" i="1"/>
  <c r="U81" i="1" s="1"/>
  <c r="W81" i="1" s="1"/>
  <c r="E81" i="1"/>
  <c r="F81" i="1" s="1"/>
  <c r="T80" i="1"/>
  <c r="U80" i="1" s="1"/>
  <c r="W80" i="1" s="1"/>
  <c r="E80" i="1"/>
  <c r="F80" i="1" s="1"/>
  <c r="V81" i="1" l="1"/>
  <c r="X81" i="1"/>
  <c r="H81" i="1"/>
  <c r="G81" i="1"/>
  <c r="Y88" i="1"/>
  <c r="H80" i="1"/>
  <c r="G80" i="1"/>
  <c r="H86" i="1"/>
  <c r="G86" i="1"/>
  <c r="X82" i="1"/>
  <c r="V84" i="1"/>
  <c r="H82" i="1"/>
  <c r="G82" i="1"/>
  <c r="X84" i="1"/>
  <c r="W86" i="1"/>
  <c r="V86" i="1"/>
  <c r="X80" i="1"/>
  <c r="H83" i="1"/>
  <c r="G83" i="1"/>
  <c r="X85" i="1"/>
  <c r="Y85" i="1" s="1"/>
  <c r="X86" i="1"/>
  <c r="Y86" i="1" s="1"/>
  <c r="H84" i="1"/>
  <c r="G84" i="1"/>
  <c r="H85" i="1"/>
  <c r="G85" i="1"/>
  <c r="H87" i="1"/>
  <c r="G87" i="1"/>
  <c r="V83" i="1"/>
  <c r="Y81" i="1"/>
  <c r="W87" i="1"/>
  <c r="V87" i="1"/>
  <c r="V80" i="1"/>
  <c r="W89" i="1"/>
  <c r="V89" i="1"/>
  <c r="W88" i="1"/>
  <c r="V88" i="1"/>
  <c r="V82" i="1"/>
  <c r="H89" i="1"/>
  <c r="G89" i="1"/>
  <c r="X83" i="1"/>
  <c r="V85" i="1"/>
  <c r="H88" i="1"/>
  <c r="G88" i="1"/>
  <c r="X89" i="1"/>
  <c r="Y89" i="1" s="1"/>
  <c r="F127" i="1"/>
  <c r="G127" i="1" s="1"/>
  <c r="D127" i="1"/>
  <c r="D126" i="1"/>
  <c r="F126" i="1" s="1"/>
  <c r="G126" i="1" s="1"/>
  <c r="J126" i="1" s="1"/>
  <c r="F125" i="1"/>
  <c r="G125" i="1" s="1"/>
  <c r="D125" i="1"/>
  <c r="D124" i="1"/>
  <c r="D123" i="1"/>
  <c r="D122" i="1"/>
  <c r="F121" i="1"/>
  <c r="G121" i="1" s="1"/>
  <c r="D121" i="1"/>
  <c r="D120" i="1"/>
  <c r="F119" i="1"/>
  <c r="G119" i="1" s="1"/>
  <c r="D119" i="1"/>
  <c r="D118" i="1"/>
  <c r="F118" i="1" s="1"/>
  <c r="G118" i="1" s="1"/>
  <c r="D117" i="1"/>
  <c r="F117" i="1" s="1"/>
  <c r="G117" i="1" s="1"/>
  <c r="D116" i="1"/>
  <c r="D115" i="1"/>
  <c r="D114" i="1"/>
  <c r="D113" i="1"/>
  <c r="F113" i="1" s="1"/>
  <c r="G113" i="1" s="1"/>
  <c r="D112" i="1"/>
  <c r="F111" i="1"/>
  <c r="G111" i="1" s="1"/>
  <c r="H111" i="1" s="1"/>
  <c r="D111" i="1"/>
  <c r="D110" i="1"/>
  <c r="F110" i="1" s="1"/>
  <c r="G110" i="1" s="1"/>
  <c r="J110" i="1" s="1"/>
  <c r="D109" i="1"/>
  <c r="T102" i="1"/>
  <c r="U102" i="1" s="1"/>
  <c r="X102" i="1" s="1"/>
  <c r="E102" i="1"/>
  <c r="F102" i="1" s="1"/>
  <c r="X101" i="1"/>
  <c r="U101" i="1"/>
  <c r="T101" i="1"/>
  <c r="E101" i="1"/>
  <c r="F101" i="1" s="1"/>
  <c r="T100" i="1"/>
  <c r="U100" i="1" s="1"/>
  <c r="X100" i="1" s="1"/>
  <c r="E100" i="1"/>
  <c r="F100" i="1" s="1"/>
  <c r="G100" i="1" s="1"/>
  <c r="U99" i="1"/>
  <c r="T99" i="1"/>
  <c r="E99" i="1"/>
  <c r="F99" i="1" s="1"/>
  <c r="T98" i="1"/>
  <c r="U98" i="1" s="1"/>
  <c r="E98" i="1"/>
  <c r="F98" i="1" s="1"/>
  <c r="G98" i="1" s="1"/>
  <c r="X97" i="1"/>
  <c r="U97" i="1"/>
  <c r="T97" i="1"/>
  <c r="H97" i="1"/>
  <c r="E97" i="1"/>
  <c r="F97" i="1" s="1"/>
  <c r="G97" i="1" s="1"/>
  <c r="T96" i="1"/>
  <c r="U96" i="1" s="1"/>
  <c r="E96" i="1"/>
  <c r="F96" i="1" s="1"/>
  <c r="H96" i="1" s="1"/>
  <c r="T95" i="1"/>
  <c r="U95" i="1" s="1"/>
  <c r="X95" i="1" s="1"/>
  <c r="E95" i="1"/>
  <c r="F95" i="1" s="1"/>
  <c r="H95" i="1" s="1"/>
  <c r="T94" i="1"/>
  <c r="U94" i="1" s="1"/>
  <c r="G94" i="1"/>
  <c r="E94" i="1"/>
  <c r="F94" i="1" s="1"/>
  <c r="H94" i="1" s="1"/>
  <c r="U93" i="1"/>
  <c r="X93" i="1" s="1"/>
  <c r="T93" i="1"/>
  <c r="E93" i="1"/>
  <c r="F93" i="1" s="1"/>
  <c r="H93" i="1" s="1"/>
  <c r="T76" i="1"/>
  <c r="U76" i="1" s="1"/>
  <c r="X76" i="1" s="1"/>
  <c r="E76" i="1"/>
  <c r="F76" i="1" s="1"/>
  <c r="H76" i="1" s="1"/>
  <c r="T75" i="1"/>
  <c r="U75" i="1" s="1"/>
  <c r="E75" i="1"/>
  <c r="F75" i="1" s="1"/>
  <c r="H75" i="1" s="1"/>
  <c r="T74" i="1"/>
  <c r="U74" i="1" s="1"/>
  <c r="H74" i="1"/>
  <c r="E74" i="1"/>
  <c r="F74" i="1" s="1"/>
  <c r="G74" i="1" s="1"/>
  <c r="T73" i="1"/>
  <c r="U73" i="1" s="1"/>
  <c r="X73" i="1" s="1"/>
  <c r="E73" i="1"/>
  <c r="F73" i="1" s="1"/>
  <c r="H73" i="1" s="1"/>
  <c r="T72" i="1"/>
  <c r="U72" i="1" s="1"/>
  <c r="E72" i="1"/>
  <c r="F72" i="1" s="1"/>
  <c r="U71" i="1"/>
  <c r="X71" i="1" s="1"/>
  <c r="T71" i="1"/>
  <c r="E71" i="1"/>
  <c r="F71" i="1" s="1"/>
  <c r="H71" i="1" s="1"/>
  <c r="X70" i="1"/>
  <c r="U70" i="1"/>
  <c r="W70" i="1" s="1"/>
  <c r="T70" i="1"/>
  <c r="F70" i="1"/>
  <c r="H70" i="1" s="1"/>
  <c r="E70" i="1"/>
  <c r="U69" i="1"/>
  <c r="W69" i="1" s="1"/>
  <c r="T69" i="1"/>
  <c r="E69" i="1"/>
  <c r="F69" i="1" s="1"/>
  <c r="U68" i="1"/>
  <c r="T68" i="1"/>
  <c r="E68" i="1"/>
  <c r="F68" i="1" s="1"/>
  <c r="T67" i="1"/>
  <c r="U67" i="1" s="1"/>
  <c r="W67" i="1" s="1"/>
  <c r="K67" i="1"/>
  <c r="M67" i="1" s="1"/>
  <c r="H67" i="1"/>
  <c r="J67" i="1" s="1"/>
  <c r="E67" i="1"/>
  <c r="F67" i="1" s="1"/>
  <c r="G67" i="1" s="1"/>
  <c r="G48" i="1"/>
  <c r="G56" i="1" s="1"/>
  <c r="H21" i="1"/>
  <c r="G21" i="1"/>
  <c r="I21" i="1" s="1"/>
  <c r="G20" i="1"/>
  <c r="G19" i="1"/>
  <c r="AC81" i="1" l="1"/>
  <c r="Z81" i="1"/>
  <c r="V69" i="1"/>
  <c r="AC89" i="1"/>
  <c r="Z89" i="1"/>
  <c r="AC88" i="1"/>
  <c r="Z88" i="1"/>
  <c r="X69" i="1"/>
  <c r="Y69" i="1" s="1"/>
  <c r="AC69" i="1" s="1"/>
  <c r="H98" i="1"/>
  <c r="J117" i="1"/>
  <c r="Y83" i="1"/>
  <c r="J85" i="1"/>
  <c r="K85" i="1" s="1"/>
  <c r="M85" i="1" s="1"/>
  <c r="N85" i="1"/>
  <c r="O85" i="1" s="1"/>
  <c r="J86" i="1"/>
  <c r="K86" i="1" s="1"/>
  <c r="M86" i="1" s="1"/>
  <c r="G76" i="1"/>
  <c r="J82" i="1"/>
  <c r="K82" i="1" s="1"/>
  <c r="M82" i="1" s="1"/>
  <c r="G71" i="1"/>
  <c r="F30" i="1"/>
  <c r="J89" i="1"/>
  <c r="K89" i="1" s="1"/>
  <c r="M89" i="1" s="1"/>
  <c r="J84" i="1"/>
  <c r="K84" i="1" s="1"/>
  <c r="M84" i="1" s="1"/>
  <c r="Y84" i="1"/>
  <c r="J80" i="1"/>
  <c r="K80" i="1" s="1"/>
  <c r="M80" i="1" s="1"/>
  <c r="AC85" i="1"/>
  <c r="Z85" i="1"/>
  <c r="G95" i="1"/>
  <c r="J88" i="1"/>
  <c r="K88" i="1" s="1"/>
  <c r="M88" i="1" s="1"/>
  <c r="J87" i="1"/>
  <c r="K87" i="1" s="1"/>
  <c r="M87" i="1" s="1"/>
  <c r="J83" i="1"/>
  <c r="K83" i="1" s="1"/>
  <c r="M83" i="1" s="1"/>
  <c r="Y82" i="1"/>
  <c r="J81" i="1"/>
  <c r="K81" i="1" s="1"/>
  <c r="M81" i="1" s="1"/>
  <c r="AC86" i="1"/>
  <c r="Z86" i="1"/>
  <c r="H100" i="1"/>
  <c r="Y80" i="1"/>
  <c r="Y87" i="1"/>
  <c r="J70" i="1"/>
  <c r="K70" i="1" s="1"/>
  <c r="M70" i="1" s="1"/>
  <c r="J73" i="1"/>
  <c r="K73" i="1" s="1"/>
  <c r="M73" i="1" s="1"/>
  <c r="H68" i="1"/>
  <c r="G68" i="1"/>
  <c r="J71" i="1"/>
  <c r="K71" i="1" s="1"/>
  <c r="M71" i="1" s="1"/>
  <c r="H99" i="1"/>
  <c r="G99" i="1"/>
  <c r="L67" i="1"/>
  <c r="W68" i="1"/>
  <c r="X68" i="1"/>
  <c r="Y68" i="1" s="1"/>
  <c r="V68" i="1"/>
  <c r="Z69" i="1"/>
  <c r="J76" i="1"/>
  <c r="K76" i="1" s="1"/>
  <c r="M76" i="1" s="1"/>
  <c r="N67" i="1"/>
  <c r="O67" i="1" s="1"/>
  <c r="P67" i="1" s="1"/>
  <c r="Q67" i="1" s="1"/>
  <c r="H72" i="1"/>
  <c r="G72" i="1"/>
  <c r="G73" i="1"/>
  <c r="J75" i="1"/>
  <c r="K75" i="1" s="1"/>
  <c r="M75" i="1" s="1"/>
  <c r="J93" i="1"/>
  <c r="K93" i="1" s="1"/>
  <c r="M93" i="1" s="1"/>
  <c r="N93" i="1"/>
  <c r="O93" i="1" s="1"/>
  <c r="W94" i="1"/>
  <c r="V94" i="1"/>
  <c r="W99" i="1"/>
  <c r="V99" i="1"/>
  <c r="X99" i="1"/>
  <c r="Y99" i="1" s="1"/>
  <c r="H101" i="1"/>
  <c r="G101" i="1"/>
  <c r="K117" i="1"/>
  <c r="I59" i="1"/>
  <c r="G53" i="1"/>
  <c r="G59" i="1" s="1"/>
  <c r="V70" i="1"/>
  <c r="G75" i="1"/>
  <c r="X94" i="1"/>
  <c r="Y94" i="1" s="1"/>
  <c r="J118" i="1"/>
  <c r="K118" i="1" s="1"/>
  <c r="I118" i="1"/>
  <c r="J121" i="1"/>
  <c r="K121" i="1" s="1"/>
  <c r="L121" i="1" s="1"/>
  <c r="M121" i="1" s="1"/>
  <c r="I121" i="1"/>
  <c r="H121" i="1"/>
  <c r="J97" i="1"/>
  <c r="K97" i="1" s="1"/>
  <c r="M97" i="1" s="1"/>
  <c r="N97" i="1"/>
  <c r="O97" i="1" s="1"/>
  <c r="J100" i="1"/>
  <c r="K100" i="1" s="1"/>
  <c r="M100" i="1" s="1"/>
  <c r="N100" i="1"/>
  <c r="O100" i="1" s="1"/>
  <c r="F109" i="1"/>
  <c r="G109" i="1" s="1"/>
  <c r="I109" i="1" s="1"/>
  <c r="J114" i="1"/>
  <c r="K114" i="1" s="1"/>
  <c r="F114" i="1"/>
  <c r="G114" i="1" s="1"/>
  <c r="I114" i="1" s="1"/>
  <c r="F25" i="1"/>
  <c r="F23" i="1"/>
  <c r="V67" i="1"/>
  <c r="AD67" i="1" s="1"/>
  <c r="G70" i="1"/>
  <c r="W75" i="1"/>
  <c r="V75" i="1"/>
  <c r="Y101" i="1"/>
  <c r="I125" i="1"/>
  <c r="H125" i="1"/>
  <c r="J125" i="1"/>
  <c r="K125" i="1" s="1"/>
  <c r="L125" i="1" s="1"/>
  <c r="M125" i="1" s="1"/>
  <c r="X67" i="1"/>
  <c r="Y67" i="1" s="1"/>
  <c r="H69" i="1"/>
  <c r="G69" i="1"/>
  <c r="Y71" i="1"/>
  <c r="W73" i="1"/>
  <c r="V73" i="1"/>
  <c r="X75" i="1"/>
  <c r="Y75" i="1" s="1"/>
  <c r="Y93" i="1"/>
  <c r="J96" i="1"/>
  <c r="K96" i="1" s="1"/>
  <c r="M96" i="1" s="1"/>
  <c r="N96" i="1"/>
  <c r="O96" i="1" s="1"/>
  <c r="Y70" i="1"/>
  <c r="W72" i="1"/>
  <c r="V72" i="1"/>
  <c r="X72" i="1"/>
  <c r="Y72" i="1" s="1"/>
  <c r="Y73" i="1"/>
  <c r="J94" i="1"/>
  <c r="K94" i="1" s="1"/>
  <c r="M94" i="1" s="1"/>
  <c r="N94" i="1"/>
  <c r="O94" i="1" s="1"/>
  <c r="Y97" i="1"/>
  <c r="J111" i="1"/>
  <c r="K111" i="1" s="1"/>
  <c r="L111" i="1" s="1"/>
  <c r="M111" i="1" s="1"/>
  <c r="I111" i="1"/>
  <c r="W98" i="1"/>
  <c r="V98" i="1"/>
  <c r="K110" i="1"/>
  <c r="J119" i="1"/>
  <c r="K119" i="1" s="1"/>
  <c r="I119" i="1"/>
  <c r="I126" i="1"/>
  <c r="W96" i="1"/>
  <c r="V96" i="1"/>
  <c r="G102" i="1"/>
  <c r="H102" i="1"/>
  <c r="F122" i="1"/>
  <c r="G122" i="1" s="1"/>
  <c r="I122" i="1" s="1"/>
  <c r="W93" i="1"/>
  <c r="V93" i="1"/>
  <c r="G96" i="1"/>
  <c r="X96" i="1"/>
  <c r="Y96" i="1" s="1"/>
  <c r="K126" i="1"/>
  <c r="W74" i="1"/>
  <c r="V74" i="1"/>
  <c r="G93" i="1"/>
  <c r="W71" i="1"/>
  <c r="V71" i="1"/>
  <c r="X74" i="1"/>
  <c r="Y74" i="1" s="1"/>
  <c r="W95" i="1"/>
  <c r="V95" i="1"/>
  <c r="X98" i="1"/>
  <c r="Y98" i="1" s="1"/>
  <c r="W100" i="1"/>
  <c r="V100" i="1"/>
  <c r="I110" i="1"/>
  <c r="H119" i="1"/>
  <c r="J74" i="1"/>
  <c r="K74" i="1" s="1"/>
  <c r="W76" i="1"/>
  <c r="V76" i="1"/>
  <c r="Y95" i="1"/>
  <c r="J98" i="1"/>
  <c r="K98" i="1" s="1"/>
  <c r="L98" i="1" s="1"/>
  <c r="Y100" i="1"/>
  <c r="W102" i="1"/>
  <c r="V102" i="1"/>
  <c r="J120" i="1"/>
  <c r="K120" i="1" s="1"/>
  <c r="J127" i="1"/>
  <c r="K127" i="1" s="1"/>
  <c r="L127" i="1" s="1"/>
  <c r="M127" i="1" s="1"/>
  <c r="I127" i="1"/>
  <c r="Y76" i="1"/>
  <c r="J95" i="1"/>
  <c r="K95" i="1" s="1"/>
  <c r="W97" i="1"/>
  <c r="V97" i="1"/>
  <c r="W101" i="1"/>
  <c r="V101" i="1"/>
  <c r="Y102" i="1"/>
  <c r="J113" i="1"/>
  <c r="K113" i="1" s="1"/>
  <c r="I113" i="1"/>
  <c r="H113" i="1"/>
  <c r="I117" i="1"/>
  <c r="H117" i="1"/>
  <c r="H127" i="1"/>
  <c r="H110" i="1"/>
  <c r="F112" i="1"/>
  <c r="G112" i="1" s="1"/>
  <c r="H118" i="1"/>
  <c r="F120" i="1"/>
  <c r="G120" i="1" s="1"/>
  <c r="I120" i="1" s="1"/>
  <c r="H126" i="1"/>
  <c r="F115" i="1"/>
  <c r="G115" i="1" s="1"/>
  <c r="F123" i="1"/>
  <c r="G123" i="1" s="1"/>
  <c r="H123" i="1" s="1"/>
  <c r="F116" i="1"/>
  <c r="G116" i="1" s="1"/>
  <c r="I116" i="1" s="1"/>
  <c r="F124" i="1"/>
  <c r="G124" i="1" s="1"/>
  <c r="I124" i="1" s="1"/>
  <c r="N83" i="1" l="1"/>
  <c r="O83" i="1" s="1"/>
  <c r="L80" i="1"/>
  <c r="AD80" i="1" s="1"/>
  <c r="L82" i="1"/>
  <c r="AD82" i="1" s="1"/>
  <c r="N80" i="1"/>
  <c r="O80" i="1" s="1"/>
  <c r="P80" i="1" s="1"/>
  <c r="Q80" i="1" s="1"/>
  <c r="N82" i="1"/>
  <c r="O82" i="1" s="1"/>
  <c r="P82" i="1" s="1"/>
  <c r="Q82" i="1" s="1"/>
  <c r="L84" i="1"/>
  <c r="AD84" i="1" s="1"/>
  <c r="L81" i="1"/>
  <c r="AD81" i="1" s="1"/>
  <c r="AE81" i="1" s="1"/>
  <c r="N89" i="1"/>
  <c r="O89" i="1" s="1"/>
  <c r="AC82" i="1"/>
  <c r="Z82" i="1"/>
  <c r="AB89" i="1"/>
  <c r="AA89" i="1"/>
  <c r="L76" i="1"/>
  <c r="L89" i="1"/>
  <c r="AE89" i="1" s="1"/>
  <c r="L119" i="1"/>
  <c r="M119" i="1" s="1"/>
  <c r="N76" i="1"/>
  <c r="O76" i="1" s="1"/>
  <c r="P76" i="1" s="1"/>
  <c r="Q76" i="1" s="1"/>
  <c r="AA86" i="1"/>
  <c r="AB86" i="1"/>
  <c r="J124" i="1"/>
  <c r="K124" i="1" s="1"/>
  <c r="J122" i="1"/>
  <c r="K122" i="1" s="1"/>
  <c r="N87" i="1"/>
  <c r="O87" i="1" s="1"/>
  <c r="AA85" i="1"/>
  <c r="AB85" i="1"/>
  <c r="L113" i="1"/>
  <c r="M113" i="1" s="1"/>
  <c r="AD76" i="1"/>
  <c r="H114" i="1"/>
  <c r="AC87" i="1"/>
  <c r="Z87" i="1"/>
  <c r="N81" i="1"/>
  <c r="O81" i="1" s="1"/>
  <c r="P81" i="1" s="1"/>
  <c r="Q81" i="1" s="1"/>
  <c r="L87" i="1"/>
  <c r="AD87" i="1" s="1"/>
  <c r="N84" i="1"/>
  <c r="O84" i="1" s="1"/>
  <c r="L85" i="1"/>
  <c r="AD85" i="1" s="1"/>
  <c r="AE85" i="1" s="1"/>
  <c r="AB88" i="1"/>
  <c r="AA88" i="1"/>
  <c r="AC80" i="1"/>
  <c r="AE80" i="1" s="1"/>
  <c r="Z80" i="1"/>
  <c r="L93" i="1"/>
  <c r="AD93" i="1" s="1"/>
  <c r="L88" i="1"/>
  <c r="AD88" i="1" s="1"/>
  <c r="AE88" i="1" s="1"/>
  <c r="AC83" i="1"/>
  <c r="Z83" i="1"/>
  <c r="N88" i="1"/>
  <c r="O88" i="1" s="1"/>
  <c r="L83" i="1"/>
  <c r="AD83" i="1" s="1"/>
  <c r="AC84" i="1"/>
  <c r="Z84" i="1"/>
  <c r="L86" i="1"/>
  <c r="AE86" i="1" s="1"/>
  <c r="AA81" i="1"/>
  <c r="AB81" i="1"/>
  <c r="N86" i="1"/>
  <c r="O86" i="1" s="1"/>
  <c r="Z76" i="1"/>
  <c r="AC76" i="1"/>
  <c r="AE76" i="1" s="1"/>
  <c r="AC67" i="1"/>
  <c r="AE67" i="1" s="1"/>
  <c r="Z67" i="1"/>
  <c r="I112" i="1"/>
  <c r="J112" i="1"/>
  <c r="K112" i="1" s="1"/>
  <c r="Z102" i="1"/>
  <c r="AC102" i="1"/>
  <c r="Z72" i="1"/>
  <c r="AC72" i="1"/>
  <c r="AC75" i="1"/>
  <c r="Z75" i="1"/>
  <c r="F26" i="1"/>
  <c r="G26" i="1" s="1"/>
  <c r="F28" i="1"/>
  <c r="AC68" i="1"/>
  <c r="Z68" i="1"/>
  <c r="I115" i="1"/>
  <c r="J115" i="1"/>
  <c r="K115" i="1" s="1"/>
  <c r="Z95" i="1"/>
  <c r="AC95" i="1"/>
  <c r="L117" i="1"/>
  <c r="M117" i="1" s="1"/>
  <c r="P93" i="1"/>
  <c r="Q93" i="1" s="1"/>
  <c r="J72" i="1"/>
  <c r="K72" i="1" s="1"/>
  <c r="M72" i="1" s="1"/>
  <c r="J68" i="1"/>
  <c r="K68" i="1" s="1"/>
  <c r="M68" i="1" s="1"/>
  <c r="H120" i="1"/>
  <c r="H124" i="1"/>
  <c r="Z98" i="1"/>
  <c r="AC98" i="1"/>
  <c r="H122" i="1"/>
  <c r="L122" i="1" s="1"/>
  <c r="M122" i="1" s="1"/>
  <c r="L100" i="1"/>
  <c r="AD100" i="1" s="1"/>
  <c r="L118" i="1"/>
  <c r="M118" i="1" s="1"/>
  <c r="N71" i="1"/>
  <c r="O71" i="1" s="1"/>
  <c r="N73" i="1"/>
  <c r="O73" i="1" s="1"/>
  <c r="M98" i="1"/>
  <c r="N98" i="1"/>
  <c r="O98" i="1" s="1"/>
  <c r="P98" i="1" s="1"/>
  <c r="Q98" i="1" s="1"/>
  <c r="AC93" i="1"/>
  <c r="Z93" i="1"/>
  <c r="L126" i="1"/>
  <c r="M126" i="1" s="1"/>
  <c r="AC97" i="1"/>
  <c r="Z97" i="1"/>
  <c r="Z101" i="1"/>
  <c r="AC101" i="1"/>
  <c r="J101" i="1"/>
  <c r="K101" i="1" s="1"/>
  <c r="M101" i="1" s="1"/>
  <c r="H112" i="1"/>
  <c r="P96" i="1"/>
  <c r="Q96" i="1" s="1"/>
  <c r="L114" i="1"/>
  <c r="M114" i="1" s="1"/>
  <c r="AC99" i="1"/>
  <c r="Z99" i="1"/>
  <c r="N75" i="1"/>
  <c r="O75" i="1" s="1"/>
  <c r="J99" i="1"/>
  <c r="K99" i="1" s="1"/>
  <c r="M99" i="1" s="1"/>
  <c r="N99" i="1"/>
  <c r="O99" i="1" s="1"/>
  <c r="L73" i="1"/>
  <c r="AD73" i="1" s="1"/>
  <c r="AC73" i="1"/>
  <c r="Z73" i="1"/>
  <c r="I123" i="1"/>
  <c r="J123" i="1"/>
  <c r="K123" i="1" s="1"/>
  <c r="L123" i="1" s="1"/>
  <c r="M123" i="1" s="1"/>
  <c r="Z71" i="1"/>
  <c r="AC71" i="1"/>
  <c r="Z94" i="1"/>
  <c r="AC94" i="1"/>
  <c r="M74" i="1"/>
  <c r="N74" i="1"/>
  <c r="O74" i="1" s="1"/>
  <c r="P74" i="1" s="1"/>
  <c r="Q74" i="1" s="1"/>
  <c r="H115" i="1"/>
  <c r="M95" i="1"/>
  <c r="N95" i="1"/>
  <c r="O95" i="1" s="1"/>
  <c r="L74" i="1"/>
  <c r="AD74" i="1" s="1"/>
  <c r="AC96" i="1"/>
  <c r="Z96" i="1"/>
  <c r="J102" i="1"/>
  <c r="K102" i="1" s="1"/>
  <c r="M102" i="1" s="1"/>
  <c r="N102" i="1"/>
  <c r="O102" i="1" s="1"/>
  <c r="H116" i="1"/>
  <c r="J109" i="1"/>
  <c r="K109" i="1" s="1"/>
  <c r="L97" i="1"/>
  <c r="AD97" i="1" s="1"/>
  <c r="L70" i="1"/>
  <c r="J116" i="1"/>
  <c r="K116" i="1" s="1"/>
  <c r="AD98" i="1"/>
  <c r="L120" i="1"/>
  <c r="M120" i="1" s="1"/>
  <c r="AC70" i="1"/>
  <c r="Z70" i="1"/>
  <c r="Z74" i="1"/>
  <c r="AC74" i="1"/>
  <c r="L95" i="1"/>
  <c r="AD95" i="1" s="1"/>
  <c r="Z100" i="1"/>
  <c r="AC100" i="1"/>
  <c r="L110" i="1"/>
  <c r="M110" i="1" s="1"/>
  <c r="L94" i="1"/>
  <c r="AD94" i="1" s="1"/>
  <c r="L96" i="1"/>
  <c r="AD96" i="1" s="1"/>
  <c r="J69" i="1"/>
  <c r="K69" i="1" s="1"/>
  <c r="M69" i="1" s="1"/>
  <c r="N69" i="1"/>
  <c r="O69" i="1" s="1"/>
  <c r="H109" i="1"/>
  <c r="AD70" i="1"/>
  <c r="L75" i="1"/>
  <c r="AD75" i="1" s="1"/>
  <c r="AB69" i="1"/>
  <c r="AA69" i="1"/>
  <c r="L71" i="1"/>
  <c r="AD71" i="1" s="1"/>
  <c r="N70" i="1"/>
  <c r="O70" i="1" s="1"/>
  <c r="P83" i="1" l="1"/>
  <c r="Q83" i="1" s="1"/>
  <c r="AE82" i="1"/>
  <c r="AE84" i="1"/>
  <c r="P84" i="1"/>
  <c r="Q84" i="1" s="1"/>
  <c r="P88" i="1"/>
  <c r="Q88" i="1" s="1"/>
  <c r="P86" i="1"/>
  <c r="Q86" i="1" s="1"/>
  <c r="AA84" i="1"/>
  <c r="AB84" i="1"/>
  <c r="AA80" i="1"/>
  <c r="AB80" i="1"/>
  <c r="AA82" i="1"/>
  <c r="AB82" i="1"/>
  <c r="L102" i="1"/>
  <c r="AD102" i="1" s="1"/>
  <c r="P87" i="1"/>
  <c r="Q87" i="1" s="1"/>
  <c r="AE74" i="1"/>
  <c r="P70" i="1"/>
  <c r="Q70" i="1" s="1"/>
  <c r="AE83" i="1"/>
  <c r="P97" i="1"/>
  <c r="Q97" i="1" s="1"/>
  <c r="L109" i="1"/>
  <c r="M109" i="1" s="1"/>
  <c r="P95" i="1"/>
  <c r="Q95" i="1" s="1"/>
  <c r="L99" i="1"/>
  <c r="AD99" i="1" s="1"/>
  <c r="AE99" i="1" s="1"/>
  <c r="L124" i="1"/>
  <c r="M124" i="1" s="1"/>
  <c r="L116" i="1"/>
  <c r="M116" i="1" s="1"/>
  <c r="AE87" i="1"/>
  <c r="AA87" i="1"/>
  <c r="AB87" i="1"/>
  <c r="AE93" i="1"/>
  <c r="P85" i="1"/>
  <c r="Q85" i="1" s="1"/>
  <c r="AA83" i="1"/>
  <c r="AB83" i="1"/>
  <c r="P89" i="1"/>
  <c r="Q89" i="1" s="1"/>
  <c r="AE73" i="1"/>
  <c r="P100" i="1"/>
  <c r="Q100" i="1" s="1"/>
  <c r="AB70" i="1"/>
  <c r="AA70" i="1"/>
  <c r="AE71" i="1"/>
  <c r="L101" i="1"/>
  <c r="AD101" i="1" s="1"/>
  <c r="AB93" i="1"/>
  <c r="AA93" i="1"/>
  <c r="N72" i="1"/>
  <c r="O72" i="1" s="1"/>
  <c r="AE95" i="1"/>
  <c r="AB102" i="1"/>
  <c r="AA102" i="1"/>
  <c r="AB100" i="1"/>
  <c r="AA100" i="1"/>
  <c r="L115" i="1"/>
  <c r="M115" i="1" s="1"/>
  <c r="AE96" i="1"/>
  <c r="AB94" i="1"/>
  <c r="AA94" i="1"/>
  <c r="AE70" i="1"/>
  <c r="AB71" i="1"/>
  <c r="AA71" i="1"/>
  <c r="P99" i="1"/>
  <c r="Q99" i="1" s="1"/>
  <c r="AE101" i="1"/>
  <c r="AE98" i="1"/>
  <c r="AB95" i="1"/>
  <c r="AA95" i="1"/>
  <c r="L112" i="1"/>
  <c r="M112" i="1" s="1"/>
  <c r="AE100" i="1"/>
  <c r="P94" i="1"/>
  <c r="Q94" i="1" s="1"/>
  <c r="AB101" i="1"/>
  <c r="AA101" i="1"/>
  <c r="AB98" i="1"/>
  <c r="AA98" i="1"/>
  <c r="L72" i="1"/>
  <c r="AD72" i="1" s="1"/>
  <c r="AE72" i="1" s="1"/>
  <c r="AB75" i="1"/>
  <c r="AA75" i="1"/>
  <c r="AB67" i="1"/>
  <c r="AA67" i="1"/>
  <c r="L69" i="1"/>
  <c r="AD69" i="1" s="1"/>
  <c r="AE69" i="1" s="1"/>
  <c r="P75" i="1"/>
  <c r="Q75" i="1" s="1"/>
  <c r="AE97" i="1"/>
  <c r="P73" i="1"/>
  <c r="Q73" i="1" s="1"/>
  <c r="AB68" i="1"/>
  <c r="AA68" i="1"/>
  <c r="AB72" i="1"/>
  <c r="AA72" i="1"/>
  <c r="AB97" i="1"/>
  <c r="AA97" i="1"/>
  <c r="AE75" i="1"/>
  <c r="AB99" i="1"/>
  <c r="AA99" i="1"/>
  <c r="P71" i="1"/>
  <c r="Q71" i="1" s="1"/>
  <c r="L68" i="1"/>
  <c r="AD68" i="1" s="1"/>
  <c r="AE68" i="1" s="1"/>
  <c r="AB74" i="1"/>
  <c r="AA74" i="1"/>
  <c r="AB96" i="1"/>
  <c r="AA96" i="1"/>
  <c r="AE94" i="1"/>
  <c r="AB73" i="1"/>
  <c r="AA73" i="1"/>
  <c r="N101" i="1"/>
  <c r="O101" i="1" s="1"/>
  <c r="P101" i="1" s="1"/>
  <c r="Q101" i="1" s="1"/>
  <c r="N68" i="1"/>
  <c r="O68" i="1" s="1"/>
  <c r="P68" i="1" s="1"/>
  <c r="Q68" i="1" s="1"/>
  <c r="AE102" i="1"/>
  <c r="AB76" i="1"/>
  <c r="AA76" i="1"/>
  <c r="P102" i="1" l="1"/>
  <c r="Q102" i="1" s="1"/>
  <c r="P72" i="1"/>
  <c r="Q72" i="1" s="1"/>
  <c r="P69" i="1"/>
  <c r="Q69" i="1" s="1"/>
</calcChain>
</file>

<file path=xl/comments1.xml><?xml version="1.0" encoding="utf-8"?>
<comments xmlns="http://schemas.openxmlformats.org/spreadsheetml/2006/main">
  <authors>
    <author>Adam Dennaoui</author>
    <author>Gerald</author>
  </authors>
  <commentList>
    <comment ref="H21" authorId="0">
      <text>
        <r>
          <rPr>
            <b/>
            <sz val="8"/>
            <color indexed="81"/>
            <rFont val="Tahoma"/>
            <family val="2"/>
          </rPr>
          <t>Adam Dennaoui:</t>
        </r>
        <r>
          <rPr>
            <sz val="8"/>
            <color indexed="81"/>
            <rFont val="Tahoma"/>
            <family val="2"/>
          </rPr>
          <t xml:space="preserve">
This is how AS2200 refers to the Hydraulic Gradient.
Refer to Examples in Appendix A</t>
        </r>
      </text>
    </comment>
    <comment ref="M108" authorId="1">
      <text>
        <r>
          <rPr>
            <b/>
            <sz val="9"/>
            <color indexed="81"/>
            <rFont val="Tahoma"/>
            <family val="2"/>
          </rPr>
          <t>Gerald:</t>
        </r>
        <r>
          <rPr>
            <sz val="9"/>
            <color indexed="81"/>
            <rFont val="Tahoma"/>
            <family val="2"/>
          </rPr>
          <t xml:space="preserve">
Vous pouvez entrer ici une correction, afin de mieux imbriquer vos valeurs dans celle du DTU</t>
        </r>
      </text>
    </comment>
    <comment ref="C109" authorId="1">
      <text>
        <r>
          <rPr>
            <b/>
            <sz val="9"/>
            <color indexed="81"/>
            <rFont val="Tahoma"/>
            <family val="2"/>
          </rPr>
          <t>Gerald:</t>
        </r>
        <r>
          <rPr>
            <sz val="9"/>
            <color indexed="81"/>
            <rFont val="Tahoma"/>
            <family val="2"/>
          </rPr>
          <t xml:space="preserve">
Metez ici le DN de votre choix</t>
        </r>
      </text>
    </comment>
    <comment ref="D109" authorId="1">
      <text>
        <r>
          <rPr>
            <b/>
            <sz val="9"/>
            <color indexed="81"/>
            <rFont val="Tahoma"/>
            <family val="2"/>
          </rPr>
          <t>Gerald:</t>
        </r>
        <r>
          <rPr>
            <sz val="9"/>
            <color indexed="81"/>
            <rFont val="Tahoma"/>
            <family val="2"/>
          </rPr>
          <t xml:space="preserve">
Ici votre formule pour le diamètre intérieur</t>
        </r>
      </text>
    </comment>
    <comment ref="E109" authorId="1">
      <text>
        <r>
          <rPr>
            <b/>
            <sz val="9"/>
            <color indexed="81"/>
            <rFont val="Tahoma"/>
            <family val="2"/>
          </rPr>
          <t>Gerald:</t>
        </r>
        <r>
          <rPr>
            <sz val="9"/>
            <color indexed="81"/>
            <rFont val="Tahoma"/>
            <family val="2"/>
          </rPr>
          <t xml:space="preserve">
Le coefficeint de remplissage 0.5 ou 0.7 pour le DTU, 0.85 pour la capacité maximale
</t>
        </r>
      </text>
    </comment>
    <comment ref="K109" authorId="1">
      <text>
        <r>
          <rPr>
            <b/>
            <sz val="9"/>
            <color indexed="81"/>
            <rFont val="Tahoma"/>
            <family val="2"/>
          </rPr>
          <t>Gerald:</t>
        </r>
        <r>
          <rPr>
            <sz val="9"/>
            <color indexed="81"/>
            <rFont val="Tahoma"/>
            <family val="2"/>
          </rPr>
          <t xml:space="preserve">
la fameuse formule
</t>
        </r>
      </text>
    </comment>
  </commentList>
</comments>
</file>

<file path=xl/sharedStrings.xml><?xml version="1.0" encoding="utf-8"?>
<sst xmlns="http://schemas.openxmlformats.org/spreadsheetml/2006/main" count="193" uniqueCount="95">
  <si>
    <t>Formule de Colebrook-White pour les tuyaux pleins</t>
  </si>
  <si>
    <t>Calculette tuyaux pleins</t>
  </si>
  <si>
    <t>les casee bleues servent pour toute la feuille</t>
  </si>
  <si>
    <t>les cases abricot ne servent que pour le résultat en jaune</t>
  </si>
  <si>
    <t>g =</t>
  </si>
  <si>
    <t>Gravité</t>
  </si>
  <si>
    <r>
      <t>·</t>
    </r>
    <r>
      <rPr>
        <sz val="7"/>
        <color theme="1"/>
        <rFont val="Arial"/>
        <family val="2"/>
      </rPr>
      <t xml:space="preserve">         </t>
    </r>
    <r>
      <rPr>
        <i/>
        <sz val="12"/>
        <color theme="1"/>
        <rFont val="Arial"/>
        <family val="2"/>
      </rPr>
      <t xml:space="preserve">g </t>
    </r>
    <r>
      <rPr>
        <sz val="12"/>
        <color theme="1"/>
        <rFont val="Arial"/>
        <family val="2"/>
      </rPr>
      <t>est l'accélération de la pesanteur, exprimée en mètres par seconde au carré (m/s²) ;</t>
    </r>
  </si>
  <si>
    <t>n =</t>
  </si>
  <si>
    <t>viscosité cinématique</t>
  </si>
  <si>
    <t>(eau pure !)</t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</si>
  <si>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2"/>
        <color theme="1"/>
        <rFont val="Arial"/>
        <family val="2"/>
      </rPr>
      <t>ν est la viscosité cinématique du fluide, exprimée en mètres carrés par seconde (m²/s).</t>
    </r>
  </si>
  <si>
    <t>ks =</t>
  </si>
  <si>
    <t>Coefficient de rugosité de Colebrook-White</t>
  </si>
  <si>
    <r>
      <t>·</t>
    </r>
    <r>
      <rPr>
        <sz val="7"/>
        <color theme="1"/>
        <rFont val="Arial"/>
        <family val="2"/>
      </rPr>
      <t xml:space="preserve">         </t>
    </r>
    <r>
      <rPr>
        <i/>
        <sz val="12"/>
        <color theme="1"/>
        <rFont val="Arial"/>
        <family val="2"/>
      </rPr>
      <t xml:space="preserve">k </t>
    </r>
    <r>
      <rPr>
        <sz val="12"/>
        <color theme="1"/>
        <rFont val="Arial"/>
        <family val="2"/>
      </rPr>
      <t>est la rugosité équivalente de la conduite, exprimée en mètres (m) ;</t>
    </r>
  </si>
  <si>
    <t>D =</t>
  </si>
  <si>
    <t>Diamètre intérieur</t>
  </si>
  <si>
    <r>
      <t>·</t>
    </r>
    <r>
      <rPr>
        <sz val="7"/>
        <color theme="1"/>
        <rFont val="Arial"/>
        <family val="2"/>
      </rPr>
      <t xml:space="preserve">         </t>
    </r>
    <r>
      <rPr>
        <i/>
        <sz val="12"/>
        <color theme="1"/>
        <rFont val="Arial"/>
        <family val="2"/>
      </rPr>
      <t xml:space="preserve">D </t>
    </r>
    <r>
      <rPr>
        <sz val="12"/>
        <color theme="1"/>
        <rFont val="Arial"/>
        <family val="2"/>
      </rPr>
      <t>est le diamètre intérieur du tuyau, exprimé en mètres (m) ;</t>
    </r>
  </si>
  <si>
    <t>p =</t>
  </si>
  <si>
    <t xml:space="preserve">pente en metres par metre </t>
  </si>
  <si>
    <r>
      <t>·</t>
    </r>
    <r>
      <rPr>
        <sz val="7"/>
        <color theme="1"/>
        <rFont val="Arial"/>
        <family val="2"/>
      </rPr>
      <t xml:space="preserve">         </t>
    </r>
    <r>
      <rPr>
        <i/>
        <sz val="12"/>
        <color theme="1"/>
        <rFont val="Arial"/>
        <family val="2"/>
      </rPr>
      <t xml:space="preserve">J </t>
    </r>
    <r>
      <rPr>
        <vertAlign val="subscript"/>
        <sz val="12"/>
        <color theme="1"/>
        <rFont val="Arial"/>
        <family val="2"/>
      </rPr>
      <t xml:space="preserve">E </t>
    </r>
    <r>
      <rPr>
        <sz val="12"/>
        <color theme="1"/>
        <rFont val="Arial"/>
        <family val="2"/>
      </rPr>
      <t>est le gradient hydraulique (perte de charge par unité de longueur), sans dimension ;</t>
    </r>
  </si>
  <si>
    <t>=</t>
  </si>
  <si>
    <t>Gradient hydraulique</t>
  </si>
  <si>
    <t>V =</t>
  </si>
  <si>
    <t>Vitesse</t>
  </si>
  <si>
    <r>
      <t>·</t>
    </r>
    <r>
      <rPr>
        <sz val="7"/>
        <color theme="1"/>
        <rFont val="Arial"/>
        <family val="2"/>
      </rPr>
      <t xml:space="preserve">         </t>
    </r>
    <r>
      <rPr>
        <i/>
        <sz val="12"/>
        <color theme="1"/>
        <rFont val="Arial"/>
        <family val="2"/>
      </rPr>
      <t xml:space="preserve">v </t>
    </r>
    <r>
      <rPr>
        <sz val="12"/>
        <color theme="1"/>
        <rFont val="Arial"/>
        <family val="2"/>
      </rPr>
      <t>est la moyenne de la vitesse de l'écoulement dans une section transversale, exprimée en mètres par seconde (m/s) ;</t>
    </r>
  </si>
  <si>
    <t>Débit</t>
  </si>
  <si>
    <t>Q = V x A</t>
  </si>
  <si>
    <t>A =</t>
  </si>
  <si>
    <t>Q =</t>
  </si>
  <si>
    <t>Re =</t>
  </si>
  <si>
    <t>Reynolds</t>
  </si>
  <si>
    <r>
      <t>ε</t>
    </r>
    <r>
      <rPr>
        <sz val="15.6"/>
        <color theme="1"/>
        <rFont val="Arial"/>
        <family val="2"/>
      </rPr>
      <t>=</t>
    </r>
  </si>
  <si>
    <t>rugosité relative</t>
  </si>
  <si>
    <t>Formule de Colebrook-White pour les tuyaux non pleins</t>
  </si>
  <si>
    <t>Le DTU 60.11 nous dit:</t>
  </si>
  <si>
    <t xml:space="preserve">Dans le cas de tuyaux partiellement remplis ou de tuyaux avec des sections non circulaires, la vitesse de l'écoulement est donnée par l'équation (E.1) en remplaçant D par 4R h où R h est le rayon hydraulique (section mouillée divisée par le périmètre mouillé). </t>
  </si>
  <si>
    <t>Donc on a la formule :</t>
  </si>
  <si>
    <t>Voir le lien :</t>
  </si>
  <si>
    <t>http://www.kecskeskft.hu/jansen/Evacuation5.pdf</t>
  </si>
  <si>
    <t>Autres calculs complémentaires</t>
  </si>
  <si>
    <t xml:space="preserve">Calcul de l'angle Θ </t>
  </si>
  <si>
    <t>%remplissage</t>
  </si>
  <si>
    <t>Θ =</t>
  </si>
  <si>
    <t>Calcul de la surface mouillée</t>
  </si>
  <si>
    <t>D</t>
  </si>
  <si>
    <t>Sm =</t>
  </si>
  <si>
    <t>Calcul du périmètre mouillé</t>
  </si>
  <si>
    <t>Merci à:</t>
  </si>
  <si>
    <t>http://www.thermexcel.com/french/ressourc/evacuation.htm</t>
  </si>
  <si>
    <t>Pm=</t>
  </si>
  <si>
    <t>Calcul du rayon hydraulique</t>
  </si>
  <si>
    <t>ou</t>
  </si>
  <si>
    <t>RH=</t>
  </si>
  <si>
    <t>Vérifier les valeurs en bleu de la calculette utilisées pour le calcul ci-dessous</t>
  </si>
  <si>
    <t>calcul tableau 8 DTU</t>
  </si>
  <si>
    <t>vérification G-eaux basée sur Di du DTU</t>
  </si>
  <si>
    <t>vérification G-eaux basée sur Di = DN</t>
  </si>
  <si>
    <t>Pente</t>
  </si>
  <si>
    <t>DN 100</t>
  </si>
  <si>
    <t>Θ pour 70% de remplisssage =</t>
  </si>
  <si>
    <t>;;</t>
  </si>
  <si>
    <t>QmaX</t>
  </si>
  <si>
    <t>V</t>
  </si>
  <si>
    <t>surface mouillée selon DTU</t>
  </si>
  <si>
    <t>Diamètre (m)</t>
  </si>
  <si>
    <t>epaisseur en mm</t>
  </si>
  <si>
    <t>DI en mm</t>
  </si>
  <si>
    <t>Coef</t>
  </si>
  <si>
    <t>hauteur d'eau</t>
  </si>
  <si>
    <t xml:space="preserve">angle Θ </t>
  </si>
  <si>
    <t xml:space="preserve">surface mouillée </t>
  </si>
  <si>
    <t>périmètre mouillé</t>
  </si>
  <si>
    <t>rayon hydraulique</t>
  </si>
  <si>
    <t>V(m/s)</t>
  </si>
  <si>
    <t>Q L/s</t>
  </si>
  <si>
    <t>ecart avec DTU</t>
  </si>
  <si>
    <t>ecart v</t>
  </si>
  <si>
    <t>ecart S</t>
  </si>
  <si>
    <t>somme des écarts</t>
  </si>
  <si>
    <t>;;mm/m</t>
  </si>
  <si>
    <t>l/s</t>
  </si>
  <si>
    <t>m/s</t>
  </si>
  <si>
    <t>m²</t>
  </si>
  <si>
    <t>absolu</t>
  </si>
  <si>
    <t>en %</t>
  </si>
  <si>
    <t>DN 300</t>
  </si>
  <si>
    <t xml:space="preserve">Tableau G-EAUX DN /= DI </t>
  </si>
  <si>
    <t>DN</t>
  </si>
  <si>
    <t>DI</t>
  </si>
  <si>
    <t>DN 125</t>
  </si>
  <si>
    <t xml:space="preserve">;;Tableau 8 Débit et la vitesse d'écoulement dans les collecteurs </t>
  </si>
  <si>
    <t>;;Pente</t>
  </si>
  <si>
    <t>DN 150</t>
  </si>
  <si>
    <t>DN 200</t>
  </si>
  <si>
    <t xml:space="preserve">DN 250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</si>
</sst>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&quot;= &quot;0.00&quot; m/s2&quot;"/>
    <numFmt numFmtId="165" formatCode="&quot;= &quot;0.000E+00&quot; m2/s&quot;"/>
    <numFmt numFmtId="166" formatCode="&quot;= &quot;0.000&quot; mm&quot;"/>
    <numFmt numFmtId="167" formatCode="&quot;= &quot;0.000E+00&quot; m&quot;"/>
    <numFmt numFmtId="168" formatCode="&quot;= &quot;0\ &quot;mm&quot;"/>
    <numFmt numFmtId="169" formatCode="&quot;= &quot;0.000&quot; m&quot;"/>
    <numFmt numFmtId="170" formatCode="&quot;= &quot;0.000%"/>
    <numFmt numFmtId="171" formatCode="&quot;= &quot;0.0000&quot; m/m&quot;"/>
    <numFmt numFmtId="172" formatCode="&quot;= &quot;0.000&quot; m/100m&quot;"/>
    <numFmt numFmtId="173" formatCode="&quot;= 1 : &quot;0"/>
    <numFmt numFmtId="174" formatCode="0.000%"/>
    <numFmt numFmtId="175" formatCode="&quot;= &quot;0.00&quot; m/s&quot;"/>
    <numFmt numFmtId="176" formatCode="0.000&quot; m2&quot;"/>
    <numFmt numFmtId="177" formatCode="0.0000&quot; m/s&quot;"/>
    <numFmt numFmtId="178" formatCode="&quot;= &quot;0.0&quot; L/s&quot;"/>
    <numFmt numFmtId="179" formatCode="0.0000"/>
    <numFmt numFmtId="180" formatCode="0.0"/>
    <numFmt numFmtId="181" formatCode="0.00&quot; L/s&quot;"/>
    <numFmt numFmtId="182" formatCode="0.000"/>
    <numFmt numFmtId="183" formatCode="&quot;Q corrigé -&quot;\ 0&quot;%&quot;"/>
    <numFmt numFmtId="184" formatCode="0.00&quot; m/s&quot;"/>
  </numFmts>
  <fonts count="35" x14ac:knownFonts="1">
    <font>
      <sz val="11"/>
      <color theme="1"/>
      <name val="Calibri"/>
      <family val="2"/>
      <scheme val="minor"/>
    </font>
    <font>
      <u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i/>
      <sz val="12"/>
      <color theme="1"/>
      <name val="Arial"/>
      <family val="2"/>
    </font>
    <font>
      <sz val="14"/>
      <color theme="1"/>
      <name val="Arial"/>
      <family val="2"/>
    </font>
    <font>
      <vertAlign val="subscript"/>
      <sz val="12"/>
      <color theme="1"/>
      <name val="Arial"/>
      <family val="2"/>
    </font>
    <font>
      <sz val="15.6"/>
      <color theme="1"/>
      <name val="Arial"/>
      <family val="2"/>
    </font>
    <font>
      <sz val="11"/>
      <color theme="1"/>
      <name val="Calibri"/>
      <family val="2"/>
    </font>
    <font>
      <u/>
      <sz val="12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2"/>
      <color theme="1"/>
      <name val="Footlight MT Light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11" fillId="0" borderId="0" applyNumberFormat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22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16" applyNumberFormat="0" applyAlignment="0" applyProtection="0"/>
    <xf numFmtId="0" fontId="27" fillId="10" borderId="17" applyNumberFormat="0" applyAlignment="0" applyProtection="0"/>
    <xf numFmtId="0" fontId="28" fillId="10" borderId="16" applyNumberFormat="0" applyAlignment="0" applyProtection="0"/>
    <xf numFmtId="0" fontId="29" fillId="0" borderId="18" applyNumberFormat="0" applyFill="0" applyAlignment="0" applyProtection="0"/>
    <xf numFmtId="0" fontId="30" fillId="11" borderId="19" applyNumberFormat="0" applyAlignment="0" applyProtection="0"/>
    <xf numFmtId="0" fontId="31" fillId="0" borderId="0" applyNumberFormat="0" applyFill="0" applyBorder="0" applyAlignment="0" applyProtection="0"/>
    <xf numFmtId="0" fontId="18" fillId="12" borderId="20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4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34" fillId="36" borderId="0" applyNumberFormat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 applyBorder="1" applyAlignment="1"/>
    <xf numFmtId="0" fontId="2" fillId="0" borderId="0" xfId="0" applyFont="1"/>
    <xf numFmtId="0" fontId="2" fillId="0" borderId="0" xfId="0" applyFont="1" applyAlignment="1">
      <alignment horizontal="right"/>
    </xf>
    <xf numFmtId="164" fontId="2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center" indent="3"/>
    </xf>
    <xf numFmtId="0" fontId="6" fillId="0" borderId="0" xfId="0" applyFont="1" applyAlignment="1">
      <alignment horizontal="right"/>
    </xf>
    <xf numFmtId="165" fontId="2" fillId="2" borderId="0" xfId="0" applyNumberFormat="1" applyFont="1" applyFill="1" applyAlignment="1">
      <alignment horizontal="left"/>
    </xf>
    <xf numFmtId="166" fontId="2" fillId="2" borderId="0" xfId="0" applyNumberFormat="1" applyFont="1" applyFill="1" applyAlignment="1" applyProtection="1">
      <alignment horizontal="left"/>
      <protection locked="0"/>
    </xf>
    <xf numFmtId="167" fontId="2" fillId="0" borderId="0" xfId="0" applyNumberFormat="1" applyFont="1" applyAlignment="1">
      <alignment horizontal="left"/>
    </xf>
    <xf numFmtId="168" fontId="2" fillId="3" borderId="0" xfId="0" applyNumberFormat="1" applyFont="1" applyFill="1" applyAlignment="1" applyProtection="1">
      <alignment horizontal="left"/>
      <protection locked="0"/>
    </xf>
    <xf numFmtId="169" fontId="2" fillId="0" borderId="0" xfId="0" applyNumberFormat="1" applyFont="1" applyAlignment="1">
      <alignment horizontal="left"/>
    </xf>
    <xf numFmtId="170" fontId="2" fillId="3" borderId="0" xfId="0" applyNumberFormat="1" applyFont="1" applyFill="1" applyAlignment="1" applyProtection="1">
      <alignment horizontal="left"/>
      <protection locked="0"/>
    </xf>
    <xf numFmtId="171" fontId="2" fillId="0" borderId="0" xfId="0" applyNumberFormat="1" applyFont="1" applyFill="1" applyAlignment="1">
      <alignment horizontal="left"/>
    </xf>
    <xf numFmtId="172" fontId="2" fillId="0" borderId="0" xfId="0" applyNumberFormat="1" applyFont="1" applyFill="1" applyAlignment="1">
      <alignment horizontal="left"/>
    </xf>
    <xf numFmtId="173" fontId="2" fillId="0" borderId="0" xfId="0" applyNumberFormat="1" applyFont="1" applyAlignment="1">
      <alignment horizontal="left"/>
    </xf>
    <xf numFmtId="174" fontId="2" fillId="0" borderId="0" xfId="0" applyNumberFormat="1" applyFont="1" applyFill="1" applyAlignment="1">
      <alignment horizontal="left"/>
    </xf>
    <xf numFmtId="175" fontId="2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76" fontId="2" fillId="0" borderId="0" xfId="0" applyNumberFormat="1" applyFont="1" applyAlignment="1">
      <alignment horizontal="left"/>
    </xf>
    <xf numFmtId="177" fontId="2" fillId="0" borderId="0" xfId="0" applyNumberFormat="1" applyFont="1" applyAlignment="1">
      <alignment horizontal="left"/>
    </xf>
    <xf numFmtId="178" fontId="2" fillId="4" borderId="1" xfId="0" applyNumberFormat="1" applyFont="1" applyFill="1" applyBorder="1" applyAlignment="1">
      <alignment horizontal="left"/>
    </xf>
    <xf numFmtId="178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179" fontId="2" fillId="0" borderId="0" xfId="0" applyNumberFormat="1" applyFont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Border="1"/>
    <xf numFmtId="0" fontId="6" fillId="0" borderId="0" xfId="0" applyFont="1"/>
    <xf numFmtId="0" fontId="11" fillId="5" borderId="5" xfId="1" applyFill="1" applyBorder="1" applyAlignment="1">
      <alignment wrapText="1"/>
    </xf>
    <xf numFmtId="0" fontId="11" fillId="5" borderId="0" xfId="1" applyFill="1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11" fillId="0" borderId="0" xfId="1" applyBorder="1" applyAlignment="1">
      <alignment wrapText="1"/>
    </xf>
    <xf numFmtId="0" fontId="11" fillId="0" borderId="0" xfId="1" applyFill="1" applyBorder="1" applyAlignment="1">
      <alignment wrapText="1"/>
    </xf>
    <xf numFmtId="0" fontId="12" fillId="0" borderId="0" xfId="1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1" fillId="0" borderId="5" xfId="1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179" fontId="0" fillId="0" borderId="0" xfId="0" applyNumberFormat="1" applyBorder="1" applyProtection="1">
      <protection locked="0"/>
    </xf>
    <xf numFmtId="180" fontId="0" fillId="0" borderId="0" xfId="0" applyNumberFormat="1" applyBorder="1" applyProtection="1">
      <protection locked="0"/>
    </xf>
    <xf numFmtId="175" fontId="0" fillId="0" borderId="0" xfId="0" applyNumberFormat="1" applyFill="1" applyBorder="1" applyAlignment="1">
      <alignment horizontal="left"/>
    </xf>
    <xf numFmtId="181" fontId="2" fillId="0" borderId="0" xfId="0" applyNumberFormat="1" applyFont="1" applyBorder="1"/>
    <xf numFmtId="182" fontId="0" fillId="0" borderId="0" xfId="0" applyNumberFormat="1" applyBorder="1"/>
    <xf numFmtId="180" fontId="0" fillId="0" borderId="5" xfId="0" applyNumberFormat="1" applyBorder="1" applyProtection="1">
      <protection locked="0"/>
    </xf>
    <xf numFmtId="10" fontId="0" fillId="0" borderId="0" xfId="0" applyNumberFormat="1" applyBorder="1"/>
    <xf numFmtId="10" fontId="0" fillId="0" borderId="6" xfId="0" applyNumberFormat="1" applyBorder="1"/>
    <xf numFmtId="0" fontId="0" fillId="5" borderId="5" xfId="0" applyFill="1" applyBorder="1"/>
    <xf numFmtId="0" fontId="11" fillId="5" borderId="7" xfId="1" applyFill="1" applyBorder="1" applyAlignment="1">
      <alignment wrapText="1"/>
    </xf>
    <xf numFmtId="0" fontId="11" fillId="5" borderId="8" xfId="1" applyFill="1" applyBorder="1" applyAlignment="1">
      <alignment wrapText="1"/>
    </xf>
    <xf numFmtId="179" fontId="0" fillId="0" borderId="8" xfId="0" applyNumberFormat="1" applyBorder="1" applyProtection="1">
      <protection locked="0"/>
    </xf>
    <xf numFmtId="180" fontId="0" fillId="0" borderId="8" xfId="0" applyNumberFormat="1" applyBorder="1" applyProtection="1">
      <protection locked="0"/>
    </xf>
    <xf numFmtId="0" fontId="12" fillId="0" borderId="8" xfId="1" applyFont="1" applyBorder="1" applyAlignment="1">
      <alignment wrapText="1"/>
    </xf>
    <xf numFmtId="0" fontId="0" fillId="0" borderId="8" xfId="0" applyBorder="1"/>
    <xf numFmtId="0" fontId="2" fillId="0" borderId="8" xfId="0" applyFont="1" applyBorder="1"/>
    <xf numFmtId="175" fontId="0" fillId="0" borderId="8" xfId="0" applyNumberFormat="1" applyFill="1" applyBorder="1" applyAlignment="1">
      <alignment horizontal="left"/>
    </xf>
    <xf numFmtId="181" fontId="2" fillId="0" borderId="8" xfId="0" applyNumberFormat="1" applyFont="1" applyBorder="1"/>
    <xf numFmtId="182" fontId="0" fillId="0" borderId="8" xfId="0" applyNumberFormat="1" applyBorder="1"/>
    <xf numFmtId="180" fontId="0" fillId="0" borderId="7" xfId="0" applyNumberFormat="1" applyBorder="1" applyProtection="1">
      <protection locked="0"/>
    </xf>
    <xf numFmtId="10" fontId="0" fillId="0" borderId="8" xfId="0" applyNumberFormat="1" applyBorder="1"/>
    <xf numFmtId="10" fontId="0" fillId="0" borderId="9" xfId="0" applyNumberFormat="1" applyBorder="1"/>
    <xf numFmtId="0" fontId="11" fillId="0" borderId="0" xfId="1" applyAlignment="1">
      <alignment wrapText="1"/>
    </xf>
    <xf numFmtId="0" fontId="12" fillId="0" borderId="10" xfId="1" applyFont="1" applyFill="1" applyBorder="1" applyAlignment="1">
      <alignment horizontal="center" wrapText="1"/>
    </xf>
    <xf numFmtId="0" fontId="12" fillId="0" borderId="11" xfId="1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183" fontId="2" fillId="0" borderId="12" xfId="0" applyNumberFormat="1" applyFont="1" applyFill="1" applyBorder="1" applyAlignment="1">
      <alignment wrapText="1"/>
    </xf>
    <xf numFmtId="0" fontId="2" fillId="0" borderId="5" xfId="0" applyFont="1" applyBorder="1"/>
    <xf numFmtId="1" fontId="2" fillId="0" borderId="0" xfId="0" applyNumberFormat="1" applyFont="1" applyFill="1" applyBorder="1" applyAlignment="1">
      <alignment horizontal="left"/>
    </xf>
    <xf numFmtId="184" fontId="2" fillId="0" borderId="0" xfId="0" applyNumberFormat="1" applyFont="1" applyFill="1" applyBorder="1" applyAlignment="1">
      <alignment horizontal="center"/>
    </xf>
    <xf numFmtId="181" fontId="2" fillId="0" borderId="6" xfId="0" applyNumberFormat="1" applyFont="1" applyBorder="1"/>
    <xf numFmtId="0" fontId="2" fillId="5" borderId="5" xfId="0" applyFont="1" applyFill="1" applyBorder="1"/>
    <xf numFmtId="1" fontId="2" fillId="5" borderId="0" xfId="0" applyNumberFormat="1" applyFont="1" applyFill="1" applyBorder="1" applyAlignment="1">
      <alignment horizontal="left"/>
    </xf>
    <xf numFmtId="0" fontId="12" fillId="5" borderId="0" xfId="1" applyFont="1" applyFill="1" applyBorder="1" applyAlignment="1">
      <alignment wrapText="1"/>
    </xf>
    <xf numFmtId="0" fontId="2" fillId="5" borderId="0" xfId="0" applyFont="1" applyFill="1" applyBorder="1"/>
    <xf numFmtId="184" fontId="2" fillId="5" borderId="0" xfId="0" applyNumberFormat="1" applyFont="1" applyFill="1" applyBorder="1" applyAlignment="1">
      <alignment horizontal="center"/>
    </xf>
    <xf numFmtId="181" fontId="2" fillId="5" borderId="0" xfId="0" applyNumberFormat="1" applyFont="1" applyFill="1" applyBorder="1"/>
    <xf numFmtId="181" fontId="2" fillId="5" borderId="6" xfId="0" applyNumberFormat="1" applyFont="1" applyFill="1" applyBorder="1"/>
    <xf numFmtId="0" fontId="2" fillId="5" borderId="7" xfId="0" applyFont="1" applyFill="1" applyBorder="1"/>
    <xf numFmtId="1" fontId="2" fillId="5" borderId="8" xfId="0" applyNumberFormat="1" applyFont="1" applyFill="1" applyBorder="1" applyAlignment="1">
      <alignment horizontal="left"/>
    </xf>
    <xf numFmtId="1" fontId="2" fillId="0" borderId="8" xfId="0" applyNumberFormat="1" applyFont="1" applyFill="1" applyBorder="1" applyAlignment="1">
      <alignment horizontal="left"/>
    </xf>
    <xf numFmtId="0" fontId="12" fillId="5" borderId="8" xfId="1" applyFont="1" applyFill="1" applyBorder="1" applyAlignment="1">
      <alignment wrapText="1"/>
    </xf>
    <xf numFmtId="0" fontId="2" fillId="5" borderId="8" xfId="0" applyFont="1" applyFill="1" applyBorder="1"/>
    <xf numFmtId="184" fontId="2" fillId="5" borderId="8" xfId="0" applyNumberFormat="1" applyFont="1" applyFill="1" applyBorder="1" applyAlignment="1">
      <alignment horizontal="center"/>
    </xf>
    <xf numFmtId="181" fontId="2" fillId="5" borderId="8" xfId="0" applyNumberFormat="1" applyFont="1" applyFill="1" applyBorder="1"/>
    <xf numFmtId="181" fontId="2" fillId="5" borderId="9" xfId="0" applyNumberFormat="1" applyFont="1" applyFill="1" applyBorder="1"/>
    <xf numFmtId="0" fontId="12" fillId="0" borderId="2" xfId="1" applyFont="1" applyBorder="1" applyAlignment="1">
      <alignment horizontal="center" wrapText="1"/>
    </xf>
    <xf numFmtId="0" fontId="12" fillId="0" borderId="3" xfId="1" applyFont="1" applyBorder="1" applyAlignment="1">
      <alignment horizontal="center" wrapText="1"/>
    </xf>
    <xf numFmtId="0" fontId="13" fillId="4" borderId="3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1" fillId="5" borderId="28" xfId="1" applyFill="1" applyBorder="1" applyAlignment="1">
      <alignment wrapText="1"/>
    </xf>
    <xf numFmtId="0" fontId="11" fillId="5" borderId="27" xfId="1" applyFill="1" applyBorder="1" applyAlignment="1">
      <alignment wrapText="1"/>
    </xf>
    <xf numFmtId="0" fontId="11" fillId="0" borderId="0" xfId="43"/>
    <xf numFmtId="0" fontId="11" fillId="0" borderId="0" xfId="1" applyAlignment="1"/>
    <xf numFmtId="0" fontId="11" fillId="0" borderId="0" xfId="1" applyBorder="1" applyAlignment="1">
      <alignment wrapText="1"/>
    </xf>
    <xf numFmtId="0" fontId="11" fillId="0" borderId="22" xfId="1" applyBorder="1" applyAlignment="1">
      <alignment wrapText="1"/>
    </xf>
    <xf numFmtId="0" fontId="11" fillId="0" borderId="23" xfId="1" applyBorder="1" applyAlignment="1">
      <alignment wrapText="1"/>
    </xf>
    <xf numFmtId="0" fontId="11" fillId="0" borderId="24" xfId="1" applyBorder="1" applyAlignment="1">
      <alignment wrapText="1"/>
    </xf>
    <xf numFmtId="0" fontId="11" fillId="0" borderId="25" xfId="1" applyBorder="1" applyAlignment="1">
      <alignment wrapText="1"/>
    </xf>
    <xf numFmtId="0" fontId="11" fillId="0" borderId="26" xfId="1" applyBorder="1" applyAlignment="1">
      <alignment wrapText="1"/>
    </xf>
    <xf numFmtId="0" fontId="11" fillId="0" borderId="27" xfId="1" applyBorder="1" applyAlignment="1">
      <alignment wrapText="1"/>
    </xf>
    <xf numFmtId="0" fontId="11" fillId="0" borderId="28" xfId="1" applyBorder="1" applyAlignment="1">
      <alignment wrapText="1"/>
    </xf>
  </cellXfs>
  <cellStyles count="45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Commentaire" xfId="16" builtinId="10" customBuiltin="1"/>
    <cellStyle name="Entrée" xfId="10" builtinId="20" customBuiltin="1"/>
    <cellStyle name="Insatisfaisant" xfId="8" builtinId="27" customBuiltin="1"/>
    <cellStyle name="Neutre" xfId="9" builtinId="28" customBuiltin="1"/>
    <cellStyle name="Normal" xfId="0" builtinId="0"/>
    <cellStyle name="Normal 2" xfId="43"/>
    <cellStyle name="Normal_" xfId="1"/>
    <cellStyle name="Pourcentage 2" xfId="44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12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  <dxf>
      <font>
        <i val="0"/>
        <condense val="0"/>
        <extend val="0"/>
        <color auto="1"/>
      </font>
      <fill>
        <patternFill>
          <bgColor rgb="FFEEF8E4"/>
        </patternFill>
      </fill>
    </dxf>
    <dxf>
      <font>
        <b/>
        <i val="0"/>
        <condense val="0"/>
        <extend val="0"/>
        <color rgb="FF002060"/>
      </font>
      <fill>
        <patternFill>
          <bgColor rgb="FFEBE7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marker>
            <c:symbol val="none"/>
          </c:marker>
          <c:cat>
            <c:strRef>
              <c:f>Feuil2!$B$2:$G$2</c:f>
              <c:strCache>
                <c:ptCount val="6"/>
                <c:pt idx="0">
                  <c:v>DN 100</c:v>
                </c:pt>
                <c:pt idx="1">
                  <c:v>DN 125</c:v>
                </c:pt>
                <c:pt idx="2">
                  <c:v>DN 150</c:v>
                </c:pt>
                <c:pt idx="3">
                  <c:v>DN 200</c:v>
                </c:pt>
                <c:pt idx="4">
                  <c:v>DN 250 </c:v>
                </c:pt>
                <c:pt idx="5">
                  <c:v>DN 300</c:v>
                </c:pt>
              </c:strCache>
            </c:strRef>
          </c:cat>
          <c:val>
            <c:numRef>
              <c:f>Feuil2!$B$6:$G$6</c:f>
              <c:numCache>
                <c:formatCode>General</c:formatCode>
                <c:ptCount val="6"/>
                <c:pt idx="0">
                  <c:v>4.2</c:v>
                </c:pt>
                <c:pt idx="1">
                  <c:v>6.8</c:v>
                </c:pt>
                <c:pt idx="2">
                  <c:v>12.8</c:v>
                </c:pt>
                <c:pt idx="3">
                  <c:v>23.7</c:v>
                </c:pt>
                <c:pt idx="4">
                  <c:v>44.9</c:v>
                </c:pt>
                <c:pt idx="5">
                  <c:v>80.599999999999994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272768"/>
        <c:axId val="138274688"/>
      </c:lineChart>
      <c:catAx>
        <c:axId val="138272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38274688"/>
        <c:crosses val="autoZero"/>
        <c:auto val="1"/>
        <c:lblAlgn val="ctr"/>
        <c:lblOffset val="100"/>
        <c:noMultiLvlLbl val="0"/>
      </c:catAx>
      <c:valAx>
        <c:axId val="138274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272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Vitesse</c:v>
          </c:tx>
          <c:marker>
            <c:symbol val="none"/>
          </c:marker>
          <c:cat>
            <c:strRef>
              <c:f>Feuil2!$B$17:$G$17</c:f>
              <c:strCache>
                <c:ptCount val="6"/>
                <c:pt idx="0">
                  <c:v>DN 100</c:v>
                </c:pt>
                <c:pt idx="1">
                  <c:v>DN 125</c:v>
                </c:pt>
                <c:pt idx="2">
                  <c:v>DN 150</c:v>
                </c:pt>
                <c:pt idx="3">
                  <c:v>DN 200</c:v>
                </c:pt>
                <c:pt idx="4">
                  <c:v>DN 250 </c:v>
                </c:pt>
                <c:pt idx="5">
                  <c:v>DN 300</c:v>
                </c:pt>
              </c:strCache>
            </c:strRef>
          </c:cat>
          <c:val>
            <c:numRef>
              <c:f>Feuil2!$B$21:$G$21</c:f>
              <c:numCache>
                <c:formatCode>General</c:formatCode>
                <c:ptCount val="6"/>
                <c:pt idx="0">
                  <c:v>0.8</c:v>
                </c:pt>
                <c:pt idx="1">
                  <c:v>0.9</c:v>
                </c:pt>
                <c:pt idx="2">
                  <c:v>1</c:v>
                </c:pt>
                <c:pt idx="3">
                  <c:v>1.2</c:v>
                </c:pt>
                <c:pt idx="4">
                  <c:v>1.4</c:v>
                </c:pt>
                <c:pt idx="5">
                  <c:v>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25856"/>
        <c:axId val="162444032"/>
      </c:lineChart>
      <c:catAx>
        <c:axId val="162425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62444032"/>
        <c:crosses val="autoZero"/>
        <c:auto val="1"/>
        <c:lblAlgn val="ctr"/>
        <c:lblOffset val="100"/>
        <c:noMultiLvlLbl val="0"/>
      </c:catAx>
      <c:valAx>
        <c:axId val="16244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425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44</xdr:row>
      <xdr:rowOff>0</xdr:rowOff>
    </xdr:from>
    <xdr:to>
      <xdr:col>5</xdr:col>
      <xdr:colOff>1111349</xdr:colOff>
      <xdr:row>45</xdr:row>
      <xdr:rowOff>190499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9153525"/>
          <a:ext cx="1682849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132522</xdr:colOff>
      <xdr:row>42</xdr:row>
      <xdr:rowOff>165652</xdr:rowOff>
    </xdr:from>
    <xdr:to>
      <xdr:col>10</xdr:col>
      <xdr:colOff>190498</xdr:colOff>
      <xdr:row>54</xdr:row>
      <xdr:rowOff>38511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047" y="8861977"/>
          <a:ext cx="3534601" cy="2473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920849</xdr:colOff>
      <xdr:row>51</xdr:row>
      <xdr:rowOff>66674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10182225"/>
          <a:ext cx="1492349" cy="495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53</xdr:row>
      <xdr:rowOff>142875</xdr:rowOff>
    </xdr:from>
    <xdr:to>
      <xdr:col>5</xdr:col>
      <xdr:colOff>766083</xdr:colOff>
      <xdr:row>55</xdr:row>
      <xdr:rowOff>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11210925"/>
          <a:ext cx="937533" cy="295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57150</xdr:colOff>
      <xdr:row>56</xdr:row>
      <xdr:rowOff>66675</xdr:rowOff>
    </xdr:from>
    <xdr:to>
      <xdr:col>9</xdr:col>
      <xdr:colOff>533813</xdr:colOff>
      <xdr:row>58</xdr:row>
      <xdr:rowOff>1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11820525"/>
          <a:ext cx="1438688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56</xdr:row>
      <xdr:rowOff>95250</xdr:rowOff>
    </xdr:from>
    <xdr:to>
      <xdr:col>5</xdr:col>
      <xdr:colOff>723900</xdr:colOff>
      <xdr:row>58</xdr:row>
      <xdr:rowOff>19051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11849100"/>
          <a:ext cx="723900" cy="381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46738</xdr:colOff>
      <xdr:row>26</xdr:row>
      <xdr:rowOff>62711</xdr:rowOff>
    </xdr:from>
    <xdr:to>
      <xdr:col>11</xdr:col>
      <xdr:colOff>95250</xdr:colOff>
      <xdr:row>27</xdr:row>
      <xdr:rowOff>184400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218938" y="5463386"/>
          <a:ext cx="3515612" cy="321714"/>
        </a:xfrm>
        <a:prstGeom prst="rect">
          <a:avLst/>
        </a:prstGeom>
      </xdr:spPr>
    </xdr:pic>
    <xdr:clientData/>
  </xdr:twoCellAnchor>
  <xdr:twoCellAnchor editAs="oneCell">
    <xdr:from>
      <xdr:col>7</xdr:col>
      <xdr:colOff>29307</xdr:colOff>
      <xdr:row>28</xdr:row>
      <xdr:rowOff>161193</xdr:rowOff>
    </xdr:from>
    <xdr:to>
      <xdr:col>8</xdr:col>
      <xdr:colOff>314325</xdr:colOff>
      <xdr:row>32</xdr:row>
      <xdr:rowOff>78075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01507" y="5961918"/>
          <a:ext cx="1466118" cy="774132"/>
        </a:xfrm>
        <a:prstGeom prst="rect">
          <a:avLst/>
        </a:prstGeom>
      </xdr:spPr>
    </xdr:pic>
    <xdr:clientData/>
  </xdr:twoCellAnchor>
  <xdr:twoCellAnchor>
    <xdr:from>
      <xdr:col>1</xdr:col>
      <xdr:colOff>46264</xdr:colOff>
      <xdr:row>4</xdr:row>
      <xdr:rowOff>29936</xdr:rowOff>
    </xdr:from>
    <xdr:to>
      <xdr:col>6</xdr:col>
      <xdr:colOff>989239</xdr:colOff>
      <xdr:row>8</xdr:row>
      <xdr:rowOff>77561</xdr:rowOff>
    </xdr:to>
    <xdr:pic>
      <xdr:nvPicPr>
        <xdr:cNvPr id="10" name="Image 9" descr="small_for_ABFW_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064" y="858611"/>
          <a:ext cx="54102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8</xdr:row>
      <xdr:rowOff>104775</xdr:rowOff>
    </xdr:to>
    <xdr:sp macro="" textlink="">
      <xdr:nvSpPr>
        <xdr:cNvPr id="11" name="AutoShape 50" descr="mailbox://C:/Users/Gerald/AppData/Roaming/Thunderbird/Profiles/bre1cbkp.default/Mail/Local%20Folders/Sent?number=1501492075&amp;part=1.1.2.2&amp;filename=pblddhdanbafcicd.png"/>
        <xdr:cNvSpPr>
          <a:spLocks noChangeAspect="1" noChangeArrowheads="1"/>
        </xdr:cNvSpPr>
      </xdr:nvSpPr>
      <xdr:spPr bwMode="auto">
        <a:xfrm>
          <a:off x="7439025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</xdr:colOff>
      <xdr:row>39</xdr:row>
      <xdr:rowOff>0</xdr:rowOff>
    </xdr:from>
    <xdr:to>
      <xdr:col>6</xdr:col>
      <xdr:colOff>239369</xdr:colOff>
      <xdr:row>41</xdr:row>
      <xdr:rowOff>135890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04801" y="8096250"/>
          <a:ext cx="5792443" cy="5359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1</xdr:row>
      <xdr:rowOff>4762</xdr:rowOff>
    </xdr:from>
    <xdr:to>
      <xdr:col>13</xdr:col>
      <xdr:colOff>752475</xdr:colOff>
      <xdr:row>15</xdr:row>
      <xdr:rowOff>80962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16</xdr:row>
      <xdr:rowOff>52387</xdr:rowOff>
    </xdr:from>
    <xdr:to>
      <xdr:col>14</xdr:col>
      <xdr:colOff>66675</xdr:colOff>
      <xdr:row>30</xdr:row>
      <xdr:rowOff>174307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E127"/>
  <sheetViews>
    <sheetView tabSelected="1" topLeftCell="A62" zoomScale="85" zoomScaleNormal="85" workbookViewId="0">
      <selection activeCell="AC78" sqref="AC78:AE89"/>
    </sheetView>
  </sheetViews>
  <sheetFormatPr baseColWidth="10" defaultRowHeight="15" x14ac:dyDescent="0.25"/>
  <cols>
    <col min="6" max="6" width="19.28515625" bestFit="1" customWidth="1"/>
    <col min="7" max="7" width="16.140625" bestFit="1" customWidth="1"/>
    <col min="8" max="8" width="17.7109375" bestFit="1" customWidth="1"/>
    <col min="13" max="13" width="17.140625" bestFit="1" customWidth="1"/>
    <col min="16" max="16" width="11.85546875" bestFit="1" customWidth="1"/>
    <col min="26" max="26" width="11.85546875" bestFit="1" customWidth="1"/>
  </cols>
  <sheetData>
    <row r="2" spans="2:24" ht="18" x14ac:dyDescent="0.25">
      <c r="B2" s="1" t="s">
        <v>0</v>
      </c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2:24" ht="15.75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24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2:24" ht="15.75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2:24" ht="15.75" x14ac:dyDescent="0.25">
      <c r="B6" s="2"/>
      <c r="C6" s="2"/>
      <c r="D6" s="2"/>
      <c r="E6" s="2"/>
      <c r="F6" s="2"/>
      <c r="G6" s="2"/>
      <c r="H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2:24" ht="15.75" x14ac:dyDescent="0.25">
      <c r="B7" s="2"/>
      <c r="C7" s="2"/>
      <c r="D7" s="2"/>
      <c r="E7" s="2"/>
      <c r="F7" s="2"/>
      <c r="G7" s="2"/>
      <c r="H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2:24" ht="15.75" x14ac:dyDescent="0.25">
      <c r="B8" s="2"/>
      <c r="C8" s="2"/>
      <c r="D8" s="2"/>
      <c r="E8" s="2"/>
      <c r="F8" s="2"/>
      <c r="G8" s="2"/>
      <c r="H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2:24" ht="15.75" x14ac:dyDescent="0.25">
      <c r="B9" s="2"/>
      <c r="C9" s="2"/>
      <c r="D9" s="2"/>
      <c r="E9" s="2"/>
      <c r="F9" s="2"/>
      <c r="G9" s="2"/>
      <c r="H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5.75" x14ac:dyDescent="0.25">
      <c r="B10" s="2"/>
      <c r="C10" s="2"/>
      <c r="D10" s="2"/>
      <c r="E10" s="2"/>
      <c r="F10" s="2"/>
      <c r="G10" s="2"/>
      <c r="H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5.75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8" x14ac:dyDescent="0.25">
      <c r="B12" s="1" t="s">
        <v>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8" x14ac:dyDescent="0.25">
      <c r="B13" s="1"/>
      <c r="C13" s="2" t="s">
        <v>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8" x14ac:dyDescent="0.25">
      <c r="B14" s="1"/>
      <c r="C14" s="2" t="s">
        <v>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5.75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5.75" x14ac:dyDescent="0.25">
      <c r="B16" s="3" t="s">
        <v>4</v>
      </c>
      <c r="C16" s="2" t="s">
        <v>5</v>
      </c>
      <c r="D16" s="2"/>
      <c r="E16" s="2"/>
      <c r="F16" s="4">
        <v>9.8066499999999994</v>
      </c>
      <c r="G16" s="2"/>
      <c r="H16" s="2"/>
      <c r="I16" s="2"/>
      <c r="J16" s="5" t="s">
        <v>6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8" x14ac:dyDescent="0.25">
      <c r="B17" s="6" t="s">
        <v>7</v>
      </c>
      <c r="C17" s="2" t="s">
        <v>8</v>
      </c>
      <c r="D17" s="2"/>
      <c r="E17" s="2"/>
      <c r="F17" s="7">
        <v>1.31E-6</v>
      </c>
      <c r="G17" s="2" t="s">
        <v>9</v>
      </c>
      <c r="H17" s="2"/>
      <c r="I17" s="2"/>
      <c r="J17" s="5" t="s">
        <v>10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5.75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5.75" x14ac:dyDescent="0.25">
      <c r="B19" s="3" t="s">
        <v>11</v>
      </c>
      <c r="C19" s="2" t="s">
        <v>12</v>
      </c>
      <c r="D19" s="2"/>
      <c r="E19" s="2"/>
      <c r="F19" s="8">
        <v>1</v>
      </c>
      <c r="G19" s="9">
        <f>F19*10^-3</f>
        <v>1E-3</v>
      </c>
      <c r="H19" s="2"/>
      <c r="I19" s="2"/>
      <c r="J19" s="5" t="s">
        <v>13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5.75" x14ac:dyDescent="0.25">
      <c r="B20" s="3" t="s">
        <v>14</v>
      </c>
      <c r="C20" s="2" t="s">
        <v>15</v>
      </c>
      <c r="D20" s="2"/>
      <c r="E20" s="2"/>
      <c r="F20" s="10">
        <v>100</v>
      </c>
      <c r="G20" s="11">
        <f>F20/1000</f>
        <v>0.1</v>
      </c>
      <c r="H20" s="2"/>
      <c r="I20" s="2"/>
      <c r="J20" s="5" t="s">
        <v>16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9.5" x14ac:dyDescent="0.25">
      <c r="B21" s="3" t="s">
        <v>17</v>
      </c>
      <c r="C21" s="2" t="s">
        <v>18</v>
      </c>
      <c r="D21" s="2"/>
      <c r="E21" s="2"/>
      <c r="F21" s="12">
        <v>0.02</v>
      </c>
      <c r="G21" s="13">
        <f>S</f>
        <v>0.02</v>
      </c>
      <c r="H21" s="14">
        <f>S*100</f>
        <v>2</v>
      </c>
      <c r="I21" s="15">
        <f>1/G21</f>
        <v>50</v>
      </c>
      <c r="J21" s="5" t="s">
        <v>19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5.75" x14ac:dyDescent="0.25">
      <c r="B22" s="3" t="s">
        <v>20</v>
      </c>
      <c r="C22" s="2" t="s">
        <v>21</v>
      </c>
      <c r="D22" s="2"/>
      <c r="E22" s="2"/>
      <c r="F22" s="16"/>
      <c r="G22" s="13"/>
      <c r="H22" s="1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ht="15.75" x14ac:dyDescent="0.25">
      <c r="B23" s="3" t="s">
        <v>22</v>
      </c>
      <c r="C23" s="2" t="s">
        <v>23</v>
      </c>
      <c r="D23" s="2"/>
      <c r="E23" s="2"/>
      <c r="F23" s="17">
        <f>-2*(2*g*D*p)^0.5*LOG((k/(3.7*D)+(2.51*v/(D*(2*g*D*p)^0.5))))</f>
        <v>1.0070455986028506</v>
      </c>
      <c r="G23" s="2"/>
      <c r="H23" s="2"/>
      <c r="I23" s="2"/>
      <c r="J23" s="5" t="s">
        <v>24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ht="15.75" x14ac:dyDescent="0.25">
      <c r="B24" s="2"/>
      <c r="C24" s="18" t="s">
        <v>25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2:24" ht="16.5" thickBot="1" x14ac:dyDescent="0.3">
      <c r="B25" s="2"/>
      <c r="C25" s="3" t="s">
        <v>26</v>
      </c>
      <c r="D25" s="2"/>
      <c r="E25" s="3" t="s">
        <v>27</v>
      </c>
      <c r="F25" s="19">
        <f>PI()*D^2/4</f>
        <v>7.8539816339744835E-3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ht="16.5" thickBot="1" x14ac:dyDescent="0.3">
      <c r="B26" s="2"/>
      <c r="C26" s="2"/>
      <c r="D26" s="2"/>
      <c r="E26" s="3" t="s">
        <v>28</v>
      </c>
      <c r="F26" s="20">
        <f>_V*F25</f>
        <v>7.9093176360016289E-3</v>
      </c>
      <c r="G26" s="21">
        <f>F26*1000</f>
        <v>7.9093176360016288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ht="15.75" x14ac:dyDescent="0.25">
      <c r="B27" s="2"/>
      <c r="C27" s="2"/>
      <c r="D27" s="2"/>
      <c r="E27" s="3"/>
      <c r="F27" s="20"/>
      <c r="G27" s="2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5.75" x14ac:dyDescent="0.25">
      <c r="B28" s="3" t="s">
        <v>29</v>
      </c>
      <c r="C28" s="2" t="s">
        <v>30</v>
      </c>
      <c r="D28" s="2"/>
      <c r="E28" s="3"/>
      <c r="F28" s="23">
        <f>_V*D/v</f>
        <v>76873.709817011506</v>
      </c>
      <c r="G28" s="2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ht="15.75" x14ac:dyDescent="0.25">
      <c r="B29" s="3"/>
      <c r="C29" s="2"/>
      <c r="D29" s="2"/>
      <c r="E29" s="3"/>
      <c r="F29" s="20"/>
      <c r="G29" s="2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20.25" x14ac:dyDescent="0.3">
      <c r="B30" s="2" t="s">
        <v>31</v>
      </c>
      <c r="C30" s="2" t="s">
        <v>32</v>
      </c>
      <c r="D30" s="2"/>
      <c r="E30" s="3"/>
      <c r="F30" s="24">
        <f>k/D</f>
        <v>0.01</v>
      </c>
      <c r="G30" s="2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ht="15.75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5.75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5.75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5.75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8" x14ac:dyDescent="0.25">
      <c r="C35" s="1" t="s">
        <v>33</v>
      </c>
      <c r="D35" s="1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5.75" x14ac:dyDescent="0.25">
      <c r="B36" s="2" t="s">
        <v>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5.75" x14ac:dyDescent="0.25">
      <c r="B37" s="2" t="s">
        <v>35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5.75" x14ac:dyDescent="0.25">
      <c r="B38" s="2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5.75" x14ac:dyDescent="0.25">
      <c r="B41" s="2"/>
      <c r="C41" s="2"/>
      <c r="D41" s="2"/>
      <c r="E41" s="2"/>
      <c r="F41" s="2"/>
      <c r="G41" s="2"/>
      <c r="H41" s="2" t="s">
        <v>37</v>
      </c>
      <c r="I41" s="25" t="s">
        <v>38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8" x14ac:dyDescent="0.25">
      <c r="B43" s="2"/>
      <c r="C43" s="1" t="s">
        <v>39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8" x14ac:dyDescent="0.25">
      <c r="B44" s="2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8" x14ac:dyDescent="0.25">
      <c r="B45" s="26"/>
      <c r="C45" s="27" t="s">
        <v>40</v>
      </c>
      <c r="D45" s="2"/>
      <c r="E45" s="2"/>
      <c r="F45" s="2"/>
      <c r="G45" s="2"/>
      <c r="H45" s="2"/>
      <c r="I45" s="2"/>
      <c r="J45" s="2"/>
      <c r="Q45" s="2"/>
      <c r="R45" s="2"/>
      <c r="S45" s="2"/>
      <c r="T45" s="2"/>
      <c r="U45" s="2"/>
      <c r="V45" s="2"/>
      <c r="W45" s="2"/>
      <c r="X45" s="2"/>
    </row>
    <row r="46" spans="2:24" ht="15.75" x14ac:dyDescent="0.25">
      <c r="B46" s="2"/>
      <c r="C46" s="2"/>
      <c r="D46" s="2"/>
      <c r="E46" s="2"/>
      <c r="F46" s="2"/>
      <c r="G46" s="2"/>
      <c r="H46" s="2"/>
      <c r="I46" s="2"/>
      <c r="J46" s="2"/>
      <c r="Q46" s="2"/>
      <c r="R46" s="2"/>
      <c r="S46" s="2"/>
      <c r="T46" s="2"/>
      <c r="U46" s="2"/>
      <c r="V46" s="2"/>
      <c r="W46" s="2"/>
      <c r="X46" s="2"/>
    </row>
    <row r="47" spans="2:24" ht="15.75" x14ac:dyDescent="0.25">
      <c r="B47" s="18"/>
      <c r="C47" s="2"/>
      <c r="D47" s="2"/>
      <c r="E47" s="2" t="s">
        <v>41</v>
      </c>
      <c r="F47" s="2"/>
      <c r="G47" s="2"/>
      <c r="H47" s="2"/>
      <c r="I47" s="2"/>
      <c r="J47" s="2"/>
      <c r="Q47" s="2"/>
      <c r="R47" s="2"/>
      <c r="S47" s="2"/>
      <c r="T47" s="2"/>
      <c r="U47" s="2"/>
      <c r="V47" s="2"/>
      <c r="W47" s="2"/>
      <c r="X47" s="2"/>
    </row>
    <row r="48" spans="2:24" ht="15.75" x14ac:dyDescent="0.25">
      <c r="B48" s="2"/>
      <c r="C48" s="2"/>
      <c r="D48" s="2"/>
      <c r="E48" s="2">
        <v>0.7</v>
      </c>
      <c r="F48" s="2" t="s">
        <v>42</v>
      </c>
      <c r="G48" s="2">
        <f>2*ACOS(1-2*E48)</f>
        <v>3.9646263457247688</v>
      </c>
      <c r="H48" s="2"/>
      <c r="I48" s="2"/>
      <c r="J48" s="2"/>
      <c r="Q48" s="2"/>
      <c r="R48" s="2"/>
      <c r="S48" s="2"/>
      <c r="T48" s="2"/>
      <c r="U48" s="2"/>
      <c r="V48" s="2"/>
      <c r="W48" s="2"/>
      <c r="X48" s="2"/>
    </row>
    <row r="49" spans="2:31" ht="15.75" x14ac:dyDescent="0.25">
      <c r="B49" s="2"/>
      <c r="C49" s="2"/>
      <c r="D49" s="2"/>
      <c r="E49" s="2"/>
      <c r="F49" s="2"/>
      <c r="G49" s="2"/>
      <c r="H49" s="2"/>
      <c r="I49" s="2"/>
      <c r="J49" s="2"/>
      <c r="Q49" s="2"/>
      <c r="R49" s="2"/>
      <c r="S49" s="2"/>
      <c r="T49" s="2"/>
      <c r="U49" s="2"/>
      <c r="V49" s="2"/>
      <c r="W49" s="2"/>
      <c r="X49" s="2"/>
    </row>
    <row r="50" spans="2:31" ht="15.75" x14ac:dyDescent="0.25">
      <c r="B50" s="18"/>
      <c r="C50" s="2"/>
      <c r="D50" s="2"/>
      <c r="E50" s="2"/>
      <c r="F50" s="2"/>
      <c r="G50" s="2"/>
      <c r="H50" s="2"/>
      <c r="I50" s="2"/>
      <c r="J50" s="2"/>
      <c r="Q50" s="2"/>
      <c r="R50" s="2"/>
      <c r="S50" s="2"/>
      <c r="T50" s="2"/>
      <c r="U50" s="2"/>
      <c r="V50" s="2"/>
      <c r="W50" s="2"/>
      <c r="X50" s="2"/>
    </row>
    <row r="51" spans="2:31" ht="18" x14ac:dyDescent="0.25">
      <c r="B51" s="2"/>
      <c r="C51" s="27" t="s">
        <v>43</v>
      </c>
      <c r="D51" s="2"/>
      <c r="E51" s="2"/>
      <c r="F51" s="2"/>
      <c r="G51" s="2"/>
      <c r="H51" s="2"/>
      <c r="I51" s="2"/>
      <c r="J51" s="2"/>
      <c r="Q51" s="2"/>
      <c r="R51" s="2"/>
      <c r="S51" s="2"/>
      <c r="T51" s="2"/>
      <c r="U51" s="2"/>
      <c r="V51" s="2"/>
      <c r="W51" s="2"/>
      <c r="X51" s="2"/>
    </row>
    <row r="52" spans="2:31" ht="18" x14ac:dyDescent="0.25">
      <c r="B52" s="2"/>
      <c r="C52" s="27"/>
      <c r="D52" s="2"/>
      <c r="E52" s="2" t="s">
        <v>44</v>
      </c>
      <c r="F52" s="2"/>
      <c r="G52" s="2"/>
      <c r="H52" s="2"/>
      <c r="I52" s="2"/>
      <c r="J52" s="2"/>
      <c r="Q52" s="2"/>
      <c r="R52" s="2"/>
      <c r="S52" s="2"/>
      <c r="T52" s="2"/>
      <c r="U52" s="2"/>
      <c r="V52" s="2"/>
      <c r="W52" s="2"/>
      <c r="X52" s="2"/>
    </row>
    <row r="53" spans="2:31" ht="18" x14ac:dyDescent="0.25">
      <c r="B53" s="2"/>
      <c r="C53" s="27"/>
      <c r="D53" s="2"/>
      <c r="E53" s="2">
        <v>0.1</v>
      </c>
      <c r="F53" s="2" t="s">
        <v>45</v>
      </c>
      <c r="G53" s="2">
        <f>(E53^2)*(G48-SIN(G48))/8</f>
        <v>5.8722980711471296E-3</v>
      </c>
      <c r="H53" s="2"/>
      <c r="I53" s="2"/>
      <c r="J53" s="2"/>
      <c r="Q53" s="2"/>
      <c r="R53" s="2"/>
      <c r="S53" s="2"/>
      <c r="T53" s="2"/>
      <c r="U53" s="2"/>
      <c r="V53" s="2"/>
      <c r="W53" s="2"/>
      <c r="X53" s="2"/>
    </row>
    <row r="54" spans="2:31" ht="18" x14ac:dyDescent="0.25">
      <c r="B54" s="2"/>
      <c r="C54" s="27"/>
      <c r="D54" s="2"/>
      <c r="E54" s="2"/>
      <c r="F54" s="2"/>
      <c r="G54" s="2"/>
      <c r="H54" s="2"/>
      <c r="I54" s="2"/>
      <c r="J54" s="2"/>
      <c r="Q54" s="2"/>
      <c r="R54" s="2"/>
      <c r="S54" s="2"/>
      <c r="T54" s="2"/>
      <c r="U54" s="2"/>
      <c r="V54" s="2"/>
      <c r="W54" s="2"/>
      <c r="X54" s="2"/>
    </row>
    <row r="55" spans="2:31" ht="18" x14ac:dyDescent="0.25">
      <c r="B55" s="2"/>
      <c r="C55" s="27" t="s">
        <v>46</v>
      </c>
      <c r="D55" s="2"/>
      <c r="E55" s="2"/>
      <c r="F55" s="2"/>
      <c r="G55" s="2"/>
      <c r="H55" s="2"/>
      <c r="I55" s="2"/>
      <c r="J55" s="2"/>
      <c r="K55" t="s">
        <v>47</v>
      </c>
      <c r="L55" t="s">
        <v>48</v>
      </c>
      <c r="Q55" s="2"/>
      <c r="R55" s="2"/>
      <c r="S55" s="2"/>
      <c r="T55" s="2"/>
      <c r="U55" s="2"/>
      <c r="V55" s="2"/>
      <c r="W55" s="2"/>
      <c r="X55" s="2"/>
    </row>
    <row r="56" spans="2:31" ht="18" x14ac:dyDescent="0.25">
      <c r="B56" s="2"/>
      <c r="C56" s="27"/>
      <c r="D56" s="2"/>
      <c r="E56" s="2"/>
      <c r="F56" s="2" t="s">
        <v>49</v>
      </c>
      <c r="G56" s="2">
        <f>G48/2*E53</f>
        <v>0.19823131728623844</v>
      </c>
      <c r="H56" s="2"/>
      <c r="I56" s="2"/>
      <c r="J56" s="2"/>
      <c r="Q56" s="2"/>
      <c r="R56" s="2"/>
      <c r="S56" s="2"/>
      <c r="T56" s="2"/>
      <c r="U56" s="2"/>
      <c r="V56" s="2"/>
      <c r="W56" s="2"/>
      <c r="X56" s="2"/>
    </row>
    <row r="57" spans="2:31" ht="18" x14ac:dyDescent="0.25">
      <c r="B57" s="2"/>
      <c r="C57" s="27"/>
      <c r="D57" s="2"/>
      <c r="E57" s="2"/>
      <c r="F57" s="2"/>
      <c r="G57" s="2"/>
      <c r="H57" s="2"/>
      <c r="I57" s="2"/>
      <c r="J57" s="2"/>
      <c r="Q57" s="2"/>
      <c r="R57" s="2"/>
      <c r="S57" s="2"/>
      <c r="T57" s="2"/>
      <c r="U57" s="2"/>
      <c r="V57" s="2"/>
      <c r="W57" s="2"/>
      <c r="X57" s="2"/>
    </row>
    <row r="58" spans="2:31" ht="18" x14ac:dyDescent="0.25">
      <c r="B58" s="2"/>
      <c r="C58" s="27" t="s">
        <v>50</v>
      </c>
      <c r="D58" s="2"/>
      <c r="E58" s="2"/>
      <c r="F58" s="2"/>
      <c r="G58" s="2"/>
      <c r="H58" s="2" t="s">
        <v>51</v>
      </c>
      <c r="I58" s="2"/>
      <c r="J58" s="2"/>
      <c r="Q58" s="2"/>
      <c r="R58" s="2"/>
      <c r="S58" s="2"/>
      <c r="T58" s="2"/>
      <c r="U58" s="2"/>
      <c r="V58" s="2"/>
      <c r="W58" s="2"/>
      <c r="X58" s="2"/>
    </row>
    <row r="59" spans="2:31" ht="18" x14ac:dyDescent="0.25">
      <c r="B59" s="2"/>
      <c r="C59" s="27"/>
      <c r="D59" s="2"/>
      <c r="E59" s="2"/>
      <c r="F59" s="2" t="s">
        <v>52</v>
      </c>
      <c r="G59" s="2">
        <f>G53/G56</f>
        <v>2.9623462889406902E-2</v>
      </c>
      <c r="H59" s="2"/>
      <c r="I59" s="2">
        <f>E53/4*(1 - SIN(G48)/G48)</f>
        <v>2.9623462889406899E-2</v>
      </c>
      <c r="J59" s="2"/>
      <c r="Q59" s="2"/>
      <c r="R59" s="2"/>
      <c r="S59" s="2"/>
      <c r="T59" s="2"/>
      <c r="U59" s="2"/>
      <c r="V59" s="2"/>
      <c r="W59" s="2"/>
      <c r="X59" s="2"/>
    </row>
    <row r="60" spans="2:31" ht="18" x14ac:dyDescent="0.25">
      <c r="B60" s="2"/>
      <c r="C60" s="2"/>
      <c r="D60" s="2"/>
      <c r="E60" s="2"/>
      <c r="F60" s="2"/>
      <c r="G60" s="2"/>
      <c r="H60" s="2"/>
      <c r="I60" s="27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31" ht="18" x14ac:dyDescent="0.25">
      <c r="B61" s="4"/>
      <c r="C61" s="2" t="s">
        <v>53</v>
      </c>
      <c r="D61" s="2"/>
      <c r="E61" s="2"/>
      <c r="F61" s="2"/>
      <c r="G61" s="2"/>
      <c r="H61" s="2"/>
      <c r="I61" s="27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31" ht="15.75" thickBot="1" x14ac:dyDescent="0.3"/>
    <row r="63" spans="2:31" ht="15.75" x14ac:dyDescent="0.25">
      <c r="B63" s="90" t="s">
        <v>54</v>
      </c>
      <c r="C63" s="91"/>
      <c r="D63" s="91"/>
      <c r="E63" s="92" t="s">
        <v>55</v>
      </c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3" t="s">
        <v>56</v>
      </c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4"/>
    </row>
    <row r="64" spans="2:31" ht="15.75" x14ac:dyDescent="0.25">
      <c r="B64" s="28" t="s">
        <v>57</v>
      </c>
      <c r="C64" s="29" t="s">
        <v>58</v>
      </c>
      <c r="D64" s="29"/>
      <c r="E64" s="30" t="s">
        <v>59</v>
      </c>
      <c r="F64" s="31"/>
      <c r="G64" s="31">
        <v>3.9646263457247688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2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3"/>
    </row>
    <row r="65" spans="2:31" ht="45.75" x14ac:dyDescent="0.25">
      <c r="B65" s="28" t="s">
        <v>60</v>
      </c>
      <c r="C65" s="29" t="s">
        <v>61</v>
      </c>
      <c r="D65" s="29" t="s">
        <v>62</v>
      </c>
      <c r="E65" s="34" t="s">
        <v>63</v>
      </c>
      <c r="F65" s="34" t="s">
        <v>64</v>
      </c>
      <c r="G65" s="35" t="s">
        <v>65</v>
      </c>
      <c r="H65" s="35" t="s">
        <v>66</v>
      </c>
      <c r="I65" s="36" t="s">
        <v>67</v>
      </c>
      <c r="J65" s="36" t="s">
        <v>68</v>
      </c>
      <c r="K65" s="37" t="s">
        <v>69</v>
      </c>
      <c r="L65" s="36" t="s">
        <v>70</v>
      </c>
      <c r="M65" s="38" t="s">
        <v>71</v>
      </c>
      <c r="N65" s="38" t="s">
        <v>72</v>
      </c>
      <c r="O65" s="36" t="s">
        <v>73</v>
      </c>
      <c r="P65" s="36" t="s">
        <v>74</v>
      </c>
      <c r="Q65" s="39" t="s">
        <v>75</v>
      </c>
      <c r="R65" s="40" t="s">
        <v>66</v>
      </c>
      <c r="S65" s="36" t="s">
        <v>67</v>
      </c>
      <c r="T65" s="36" t="s">
        <v>68</v>
      </c>
      <c r="U65" s="37" t="s">
        <v>69</v>
      </c>
      <c r="V65" s="36" t="s">
        <v>70</v>
      </c>
      <c r="W65" s="38" t="s">
        <v>71</v>
      </c>
      <c r="X65" s="38" t="s">
        <v>72</v>
      </c>
      <c r="Y65" s="36" t="s">
        <v>73</v>
      </c>
      <c r="Z65" s="36" t="s">
        <v>74</v>
      </c>
      <c r="AA65" s="39" t="s">
        <v>75</v>
      </c>
      <c r="AB65" s="39"/>
      <c r="AC65" s="39" t="s">
        <v>76</v>
      </c>
      <c r="AD65" s="39" t="s">
        <v>77</v>
      </c>
      <c r="AE65" s="41" t="s">
        <v>78</v>
      </c>
    </row>
    <row r="66" spans="2:31" x14ac:dyDescent="0.25">
      <c r="B66" s="28" t="s">
        <v>79</v>
      </c>
      <c r="C66" s="29" t="s">
        <v>80</v>
      </c>
      <c r="D66" s="29" t="s">
        <v>81</v>
      </c>
      <c r="E66" s="34" t="s">
        <v>82</v>
      </c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42"/>
      <c r="S66" s="39"/>
      <c r="T66" s="39"/>
      <c r="U66" s="39"/>
      <c r="V66" s="39"/>
      <c r="W66" s="39"/>
      <c r="X66" s="39"/>
      <c r="Y66" s="39"/>
      <c r="Z66" s="39"/>
      <c r="AA66" s="39" t="s">
        <v>83</v>
      </c>
      <c r="AB66" s="39" t="s">
        <v>84</v>
      </c>
      <c r="AC66" s="39"/>
      <c r="AD66" s="39"/>
      <c r="AE66" s="41"/>
    </row>
    <row r="67" spans="2:31" ht="15.75" x14ac:dyDescent="0.25">
      <c r="B67" s="28">
        <v>5</v>
      </c>
      <c r="C67" s="29">
        <v>2.9</v>
      </c>
      <c r="D67" s="29">
        <v>0.5</v>
      </c>
      <c r="E67" s="43">
        <f>C67/1000/D67</f>
        <v>5.7999999999999996E-3</v>
      </c>
      <c r="F67" s="43">
        <f>SQRT(E67*8/($G$64-SIN($G$64)))</f>
        <v>9.9382507673322851E-2</v>
      </c>
      <c r="G67" s="43">
        <f>1000*(0.1-F67)/2</f>
        <v>0.30874616333857741</v>
      </c>
      <c r="H67" s="44">
        <f>F67*1000</f>
        <v>99.382507673322849</v>
      </c>
      <c r="I67" s="36">
        <v>0.7</v>
      </c>
      <c r="J67" s="31">
        <f>H67*I67/1000</f>
        <v>6.9567755371325993E-2</v>
      </c>
      <c r="K67" s="30">
        <f>2*ACOS(1-2*(J67/(H67*0.001)))</f>
        <v>3.9646263457247688</v>
      </c>
      <c r="L67" s="30">
        <f>((0.001*H67)^2)*(K67-SIN(K67))/8</f>
        <v>5.7999999999999996E-3</v>
      </c>
      <c r="M67" s="30">
        <f>K67*0.001/2*H67</f>
        <v>0.19700725411292488</v>
      </c>
      <c r="N67" s="30">
        <f>H67*0.001/4*(1 - SIN(K67)/K67)</f>
        <v>2.9440540279168759E-2</v>
      </c>
      <c r="O67" s="45">
        <f t="shared" ref="O67:O76" si="0">-2*SQRT(8*g*N67*B67*0.001)*LOG((k/(3.71*4*N67)+ 2.51*v/(4*N67*SQRT(8*g*N67*B67*0.001))))</f>
        <v>0.55745545794800089</v>
      </c>
      <c r="P67" s="46">
        <f>O67*L67*1000</f>
        <v>3.233241656098405</v>
      </c>
      <c r="Q67" s="47">
        <f>P67-C67</f>
        <v>0.33324165609840506</v>
      </c>
      <c r="R67" s="48">
        <v>100</v>
      </c>
      <c r="S67" s="36">
        <v>0.7</v>
      </c>
      <c r="T67" s="31">
        <f>R67*S67/1000</f>
        <v>7.0000000000000007E-2</v>
      </c>
      <c r="U67" s="30">
        <f>2*ACOS(1-2*(T67/(R67*0.001)))</f>
        <v>3.9646263457247697</v>
      </c>
      <c r="V67" s="30">
        <f>((0.001*R67)^2)*(U67-SIN(U67))/8</f>
        <v>5.8722980711471322E-3</v>
      </c>
      <c r="W67" s="30">
        <f>U67*0.001/2*R67</f>
        <v>0.1982313172862385</v>
      </c>
      <c r="X67" s="30">
        <f>R67*0.001/4*(1 - SIN(U67)/U67)</f>
        <v>2.9623462889406905E-2</v>
      </c>
      <c r="Y67" s="45">
        <f>-2*SQRT(8*g*X67*B67*0.001)*LOG((k/(3.71*4*X67)+ 2.51*v/(4*X67*SQRT(8*g*X67*B67*0.001))))</f>
        <v>0.55979407343512477</v>
      </c>
      <c r="Z67" s="46">
        <f>Y67*V67*1000</f>
        <v>3.2872776576726794</v>
      </c>
      <c r="AA67" s="47">
        <f>Z67-C67</f>
        <v>0.38727765767267952</v>
      </c>
      <c r="AB67" s="49">
        <f>Z67/C67-1</f>
        <v>0.13354401988713094</v>
      </c>
      <c r="AC67" s="49">
        <f t="shared" ref="AC67:AC75" si="1">Y67/D67-1</f>
        <v>0.11958814687024955</v>
      </c>
      <c r="AD67" s="49">
        <f t="shared" ref="AD67:AD75" si="2">V67/L67-1</f>
        <v>1.2465184680540142E-2</v>
      </c>
      <c r="AE67" s="50">
        <f t="shared" ref="AE67:AE75" si="3">AC67+AD67</f>
        <v>0.13205333155078969</v>
      </c>
    </row>
    <row r="68" spans="2:31" ht="15.75" x14ac:dyDescent="0.25">
      <c r="B68" s="28">
        <v>10</v>
      </c>
      <c r="C68" s="29">
        <v>4.2</v>
      </c>
      <c r="D68" s="29">
        <v>0.8</v>
      </c>
      <c r="E68" s="43">
        <f t="shared" ref="E68:E76" si="4">C68/1000/D68</f>
        <v>5.2500000000000003E-3</v>
      </c>
      <c r="F68" s="43">
        <f t="shared" ref="F68:F76" si="5">SQRT(E68*8/($G$64-SIN($G$64)))</f>
        <v>9.4553063796391418E-2</v>
      </c>
      <c r="G68" s="43">
        <f t="shared" ref="G68:G76" si="6">1000*(0.1-F68)/2</f>
        <v>2.7234681018042939</v>
      </c>
      <c r="H68" s="44">
        <f t="shared" ref="H68:H76" si="7">F68*1000</f>
        <v>94.553063796391413</v>
      </c>
      <c r="I68" s="36">
        <v>0.7</v>
      </c>
      <c r="J68" s="31">
        <f t="shared" ref="J68:J76" si="8">H68*I68/1000</f>
        <v>6.6187144657473981E-2</v>
      </c>
      <c r="K68" s="30">
        <f t="shared" ref="K68:K76" si="9">2*ACOS(1-2*(J68/(H68*0.001)))</f>
        <v>3.9646263457247684</v>
      </c>
      <c r="L68" s="30">
        <f>((0.001*H68)^2)*(K68-SIN(K68))/8</f>
        <v>5.2499999999999995E-3</v>
      </c>
      <c r="M68" s="30">
        <f t="shared" ref="M68:M76" si="10">K68*0.001/2*H68</f>
        <v>0.18743378389808413</v>
      </c>
      <c r="N68" s="30">
        <f t="shared" ref="N68:N76" si="11">H68*0.001/4*(1 - SIN(K68)/K68)</f>
        <v>2.800989176452124E-2</v>
      </c>
      <c r="O68" s="45">
        <f t="shared" si="0"/>
        <v>0.76621547618499708</v>
      </c>
      <c r="P68" s="46">
        <f t="shared" ref="P68:P76" si="12">O68*L68*1000</f>
        <v>4.0226312499712344</v>
      </c>
      <c r="Q68" s="47">
        <f t="shared" ref="Q68:Q76" si="13">P68-C68</f>
        <v>-0.17736875002876573</v>
      </c>
      <c r="R68" s="48">
        <v>100</v>
      </c>
      <c r="S68" s="36">
        <v>0.7</v>
      </c>
      <c r="T68" s="31">
        <f t="shared" ref="T68:T76" si="14">R68*S68/1000</f>
        <v>7.0000000000000007E-2</v>
      </c>
      <c r="U68" s="30">
        <f t="shared" ref="U68:U76" si="15">2*ACOS(1-2*(T68/(R68*0.001)))</f>
        <v>3.9646263457247697</v>
      </c>
      <c r="V68" s="30">
        <f>((0.001*R68)^2)*(U68-SIN(U68))/8</f>
        <v>5.8722980711471322E-3</v>
      </c>
      <c r="W68" s="30">
        <f t="shared" ref="W68:W76" si="16">U68*0.001/2*R68</f>
        <v>0.1982313172862385</v>
      </c>
      <c r="X68" s="30">
        <f t="shared" ref="X68:X76" si="17">R68*0.001/4*(1 - SIN(U68)/U68)</f>
        <v>2.9623462889406905E-2</v>
      </c>
      <c r="Y68" s="45">
        <f t="shared" ref="Y68:Y76" si="18">-2*SQRT(8*g*X68*B68*0.001)*LOG((k/(3.71*4*X68)+ 2.51*v/(4*X68*SQRT(8*g*X68*B68*0.001))))</f>
        <v>0.79567100149986525</v>
      </c>
      <c r="Z68" s="46">
        <f t="shared" ref="Z68:Z76" si="19">Y68*V68*1000</f>
        <v>4.6724172873753655</v>
      </c>
      <c r="AA68" s="47">
        <f t="shared" ref="AA68:AA75" si="20">Z68-C68</f>
        <v>0.47241728737536537</v>
      </c>
      <c r="AB68" s="49">
        <f t="shared" ref="AB68:AB76" si="21">Z68/C68-1</f>
        <v>0.11248030651794405</v>
      </c>
      <c r="AC68" s="49">
        <f t="shared" si="1"/>
        <v>-5.4112481251684663E-3</v>
      </c>
      <c r="AD68" s="49">
        <f t="shared" si="2"/>
        <v>0.11853296593278717</v>
      </c>
      <c r="AE68" s="50">
        <f t="shared" si="3"/>
        <v>0.1131217178076187</v>
      </c>
    </row>
    <row r="69" spans="2:31" ht="15.75" x14ac:dyDescent="0.25">
      <c r="B69" s="28">
        <v>15</v>
      </c>
      <c r="C69" s="29">
        <v>5.0999999999999996</v>
      </c>
      <c r="D69" s="29">
        <v>1</v>
      </c>
      <c r="E69" s="43">
        <f t="shared" si="4"/>
        <v>5.0999999999999995E-3</v>
      </c>
      <c r="F69" s="43">
        <f t="shared" si="5"/>
        <v>9.3192517126287983E-2</v>
      </c>
      <c r="G69" s="43">
        <f t="shared" si="6"/>
        <v>3.4037414368560115</v>
      </c>
      <c r="H69" s="44">
        <f t="shared" si="7"/>
        <v>93.192517126287981</v>
      </c>
      <c r="I69" s="36">
        <v>0.7</v>
      </c>
      <c r="J69" s="31">
        <f t="shared" si="8"/>
        <v>6.5234761988401585E-2</v>
      </c>
      <c r="K69" s="30">
        <f t="shared" si="9"/>
        <v>3.9646263457247688</v>
      </c>
      <c r="L69" s="30">
        <f t="shared" ref="L69:L76" si="22">((0.001*H69)^2)*(K69-SIN(K69))/8</f>
        <v>5.0999999999999995E-3</v>
      </c>
      <c r="M69" s="30">
        <f t="shared" si="10"/>
        <v>0.18473675431164402</v>
      </c>
      <c r="N69" s="30">
        <f t="shared" si="11"/>
        <v>2.760685072661009E-2</v>
      </c>
      <c r="O69" s="45">
        <f t="shared" si="0"/>
        <v>0.93150144219299513</v>
      </c>
      <c r="P69" s="46">
        <f t="shared" si="12"/>
        <v>4.7506573551842743</v>
      </c>
      <c r="Q69" s="47">
        <f t="shared" si="13"/>
        <v>-0.3493426448157253</v>
      </c>
      <c r="R69" s="48">
        <v>100</v>
      </c>
      <c r="S69" s="36">
        <v>0.7</v>
      </c>
      <c r="T69" s="31">
        <f t="shared" si="14"/>
        <v>7.0000000000000007E-2</v>
      </c>
      <c r="U69" s="30">
        <f t="shared" si="15"/>
        <v>3.9646263457247697</v>
      </c>
      <c r="V69" s="30">
        <f t="shared" ref="V69:V76" si="23">((0.001*R69)^2)*(U69-SIN(U69))/8</f>
        <v>5.8722980711471322E-3</v>
      </c>
      <c r="W69" s="30">
        <f t="shared" si="16"/>
        <v>0.1982313172862385</v>
      </c>
      <c r="X69" s="30">
        <f t="shared" si="17"/>
        <v>2.9623462889406905E-2</v>
      </c>
      <c r="Y69" s="45">
        <f t="shared" si="18"/>
        <v>0.97671401745745889</v>
      </c>
      <c r="Z69" s="46">
        <f t="shared" si="19"/>
        <v>5.7355558407778027</v>
      </c>
      <c r="AA69" s="47">
        <f t="shared" si="20"/>
        <v>0.63555584077780303</v>
      </c>
      <c r="AB69" s="49">
        <f t="shared" si="21"/>
        <v>0.12461879230937312</v>
      </c>
      <c r="AC69" s="49">
        <f t="shared" si="1"/>
        <v>-2.3285982542541106E-2</v>
      </c>
      <c r="AD69" s="49">
        <f t="shared" si="2"/>
        <v>0.15143099434257512</v>
      </c>
      <c r="AE69" s="50">
        <f t="shared" si="3"/>
        <v>0.12814501180003401</v>
      </c>
    </row>
    <row r="70" spans="2:31" ht="15.75" x14ac:dyDescent="0.25">
      <c r="B70" s="28">
        <v>20</v>
      </c>
      <c r="C70" s="29">
        <v>5.9</v>
      </c>
      <c r="D70" s="29">
        <v>1.1000000000000001</v>
      </c>
      <c r="E70" s="43">
        <f t="shared" si="4"/>
        <v>5.3636363636363638E-3</v>
      </c>
      <c r="F70" s="43">
        <f t="shared" si="5"/>
        <v>9.557088713590714E-2</v>
      </c>
      <c r="G70" s="43">
        <f t="shared" si="6"/>
        <v>2.2145564320464328</v>
      </c>
      <c r="H70" s="44">
        <f t="shared" si="7"/>
        <v>95.570887135907142</v>
      </c>
      <c r="I70" s="36">
        <v>0.7</v>
      </c>
      <c r="J70" s="31">
        <f t="shared" si="8"/>
        <v>6.6899620995134995E-2</v>
      </c>
      <c r="K70" s="30">
        <f t="shared" si="9"/>
        <v>3.9646263457247688</v>
      </c>
      <c r="L70" s="30">
        <f t="shared" si="22"/>
        <v>5.363636363636363E-3</v>
      </c>
      <c r="M70" s="30">
        <f t="shared" si="10"/>
        <v>0.18945142851165292</v>
      </c>
      <c r="N70" s="30">
        <f t="shared" si="11"/>
        <v>2.8311406283782405E-2</v>
      </c>
      <c r="O70" s="45">
        <f t="shared" si="0"/>
        <v>1.095545857214792</v>
      </c>
      <c r="P70" s="46">
        <f t="shared" si="12"/>
        <v>5.876109597788429</v>
      </c>
      <c r="Q70" s="47">
        <f t="shared" si="13"/>
        <v>-2.3890402211571349E-2</v>
      </c>
      <c r="R70" s="48">
        <v>100</v>
      </c>
      <c r="S70" s="36">
        <v>0.7</v>
      </c>
      <c r="T70" s="31">
        <f t="shared" si="14"/>
        <v>7.0000000000000007E-2</v>
      </c>
      <c r="U70" s="30">
        <f t="shared" si="15"/>
        <v>3.9646263457247697</v>
      </c>
      <c r="V70" s="30">
        <f t="shared" si="23"/>
        <v>5.8722980711471322E-3</v>
      </c>
      <c r="W70" s="30">
        <f t="shared" si="16"/>
        <v>0.1982313172862385</v>
      </c>
      <c r="X70" s="30">
        <f t="shared" si="17"/>
        <v>2.9623462889406905E-2</v>
      </c>
      <c r="Y70" s="45">
        <f t="shared" si="18"/>
        <v>1.1293572034023833</v>
      </c>
      <c r="Z70" s="46">
        <f t="shared" si="19"/>
        <v>6.631922127175935</v>
      </c>
      <c r="AA70" s="47">
        <f t="shared" si="20"/>
        <v>0.73192212717593463</v>
      </c>
      <c r="AB70" s="49">
        <f t="shared" si="21"/>
        <v>0.12405459782642958</v>
      </c>
      <c r="AC70" s="49">
        <f t="shared" si="1"/>
        <v>2.6688366729439306E-2</v>
      </c>
      <c r="AD70" s="49">
        <f t="shared" si="2"/>
        <v>9.4835233603702829E-2</v>
      </c>
      <c r="AE70" s="50">
        <f t="shared" si="3"/>
        <v>0.12152360033314213</v>
      </c>
    </row>
    <row r="71" spans="2:31" ht="15.75" x14ac:dyDescent="0.25">
      <c r="B71" s="28">
        <v>25</v>
      </c>
      <c r="C71" s="29">
        <v>6.7</v>
      </c>
      <c r="D71" s="29">
        <v>1.2</v>
      </c>
      <c r="E71" s="43">
        <f t="shared" si="4"/>
        <v>5.5833333333333334E-3</v>
      </c>
      <c r="F71" s="43">
        <f t="shared" si="5"/>
        <v>9.7508557663519901E-2</v>
      </c>
      <c r="G71" s="43">
        <f t="shared" si="6"/>
        <v>1.2457211682400522</v>
      </c>
      <c r="H71" s="44">
        <f t="shared" si="7"/>
        <v>97.508557663519895</v>
      </c>
      <c r="I71" s="36">
        <v>0.7</v>
      </c>
      <c r="J71" s="31">
        <f t="shared" si="8"/>
        <v>6.825599036446392E-2</v>
      </c>
      <c r="K71" s="30">
        <f t="shared" si="9"/>
        <v>3.9646263457247684</v>
      </c>
      <c r="L71" s="30">
        <f t="shared" si="22"/>
        <v>5.5833333333333316E-3</v>
      </c>
      <c r="M71" s="30">
        <f t="shared" si="10"/>
        <v>0.19329249832320688</v>
      </c>
      <c r="N71" s="30">
        <f t="shared" si="11"/>
        <v>2.8885411393448746E-2</v>
      </c>
      <c r="O71" s="45">
        <f t="shared" si="0"/>
        <v>1.2426609726557918</v>
      </c>
      <c r="P71" s="46">
        <f t="shared" si="12"/>
        <v>6.9381904306615025</v>
      </c>
      <c r="Q71" s="47">
        <f t="shared" si="13"/>
        <v>0.23819043066150236</v>
      </c>
      <c r="R71" s="48">
        <v>100</v>
      </c>
      <c r="S71" s="36">
        <v>0.7</v>
      </c>
      <c r="T71" s="31">
        <f t="shared" si="14"/>
        <v>7.0000000000000007E-2</v>
      </c>
      <c r="U71" s="30">
        <f t="shared" si="15"/>
        <v>3.9646263457247697</v>
      </c>
      <c r="V71" s="30">
        <f t="shared" si="23"/>
        <v>5.8722980711471322E-3</v>
      </c>
      <c r="W71" s="30">
        <f t="shared" si="16"/>
        <v>0.1982313172862385</v>
      </c>
      <c r="X71" s="30">
        <f t="shared" si="17"/>
        <v>2.9623462889406905E-2</v>
      </c>
      <c r="Y71" s="45">
        <f t="shared" si="18"/>
        <v>1.2638467848718649</v>
      </c>
      <c r="Z71" s="46">
        <f t="shared" si="19"/>
        <v>7.4216850370285563</v>
      </c>
      <c r="AA71" s="47">
        <f t="shared" si="20"/>
        <v>0.72168503702855613</v>
      </c>
      <c r="AB71" s="49">
        <f t="shared" si="21"/>
        <v>0.10771418463112781</v>
      </c>
      <c r="AC71" s="49">
        <f t="shared" si="1"/>
        <v>5.320565405988753E-2</v>
      </c>
      <c r="AD71" s="49">
        <f t="shared" si="2"/>
        <v>5.1754878414411953E-2</v>
      </c>
      <c r="AE71" s="50">
        <f t="shared" si="3"/>
        <v>0.10496053247429948</v>
      </c>
    </row>
    <row r="72" spans="2:31" ht="15.75" x14ac:dyDescent="0.25">
      <c r="B72" s="28">
        <v>30</v>
      </c>
      <c r="C72" s="29">
        <v>7.3</v>
      </c>
      <c r="D72" s="29">
        <v>1.3</v>
      </c>
      <c r="E72" s="43">
        <f t="shared" si="4"/>
        <v>5.615384615384615E-3</v>
      </c>
      <c r="F72" s="43">
        <f t="shared" si="5"/>
        <v>9.7788032463266492E-2</v>
      </c>
      <c r="G72" s="43">
        <f t="shared" si="6"/>
        <v>1.105983768366757</v>
      </c>
      <c r="H72" s="44">
        <f t="shared" si="7"/>
        <v>97.788032463266489</v>
      </c>
      <c r="I72" s="36">
        <v>0.7</v>
      </c>
      <c r="J72" s="31">
        <f t="shared" si="8"/>
        <v>6.8451622724286537E-2</v>
      </c>
      <c r="K72" s="30">
        <f t="shared" si="9"/>
        <v>3.9646263457247688</v>
      </c>
      <c r="L72" s="30">
        <f t="shared" si="22"/>
        <v>5.6153846153846132E-3</v>
      </c>
      <c r="M72" s="30">
        <f t="shared" si="10"/>
        <v>0.19384650490022765</v>
      </c>
      <c r="N72" s="30">
        <f t="shared" si="11"/>
        <v>2.8968201507036918E-2</v>
      </c>
      <c r="O72" s="45">
        <f t="shared" si="0"/>
        <v>1.3648453473216475</v>
      </c>
      <c r="P72" s="46">
        <f t="shared" si="12"/>
        <v>7.6641315657292486</v>
      </c>
      <c r="Q72" s="47">
        <f t="shared" si="13"/>
        <v>0.36413156572924876</v>
      </c>
      <c r="R72" s="48">
        <v>100</v>
      </c>
      <c r="S72" s="36">
        <v>0.7</v>
      </c>
      <c r="T72" s="31">
        <f t="shared" si="14"/>
        <v>7.0000000000000007E-2</v>
      </c>
      <c r="U72" s="30">
        <f t="shared" si="15"/>
        <v>3.9646263457247697</v>
      </c>
      <c r="V72" s="30">
        <f t="shared" si="23"/>
        <v>5.8722980711471322E-3</v>
      </c>
      <c r="W72" s="30">
        <f t="shared" si="16"/>
        <v>0.1982313172862385</v>
      </c>
      <c r="X72" s="30">
        <f t="shared" si="17"/>
        <v>2.9623462889406905E-2</v>
      </c>
      <c r="Y72" s="45">
        <f t="shared" si="18"/>
        <v>1.3854394124812266</v>
      </c>
      <c r="Z72" s="46">
        <f t="shared" si="19"/>
        <v>8.1357131896047239</v>
      </c>
      <c r="AA72" s="47">
        <f t="shared" si="20"/>
        <v>0.83571318960472407</v>
      </c>
      <c r="AB72" s="49">
        <f t="shared" si="21"/>
        <v>0.11448125884996219</v>
      </c>
      <c r="AC72" s="49">
        <f t="shared" si="1"/>
        <v>6.572262498555892E-2</v>
      </c>
      <c r="AD72" s="49">
        <f t="shared" si="2"/>
        <v>4.5751711300174636E-2</v>
      </c>
      <c r="AE72" s="50">
        <f t="shared" si="3"/>
        <v>0.11147433628573356</v>
      </c>
    </row>
    <row r="73" spans="2:31" ht="15.75" x14ac:dyDescent="0.25">
      <c r="B73" s="28">
        <v>35</v>
      </c>
      <c r="C73" s="29">
        <v>7.9</v>
      </c>
      <c r="D73" s="29">
        <v>1.5</v>
      </c>
      <c r="E73" s="43">
        <f t="shared" si="4"/>
        <v>5.2666666666666669E-3</v>
      </c>
      <c r="F73" s="43">
        <f t="shared" si="5"/>
        <v>9.4703029098869074E-2</v>
      </c>
      <c r="G73" s="43">
        <f t="shared" si="6"/>
        <v>2.6484854505654658</v>
      </c>
      <c r="H73" s="44">
        <f t="shared" si="7"/>
        <v>94.703029098869081</v>
      </c>
      <c r="I73" s="36">
        <v>0.7</v>
      </c>
      <c r="J73" s="31">
        <f t="shared" si="8"/>
        <v>6.6292120369208354E-2</v>
      </c>
      <c r="K73" s="30">
        <f t="shared" si="9"/>
        <v>3.9646263457247688</v>
      </c>
      <c r="L73" s="30">
        <f t="shared" si="22"/>
        <v>5.2666666666666695E-3</v>
      </c>
      <c r="M73" s="30">
        <f t="shared" si="10"/>
        <v>0.18773106209265789</v>
      </c>
      <c r="N73" s="30">
        <f t="shared" si="11"/>
        <v>2.8054316680247701E-2</v>
      </c>
      <c r="O73" s="45">
        <f t="shared" si="0"/>
        <v>1.4436712508752496</v>
      </c>
      <c r="P73" s="46">
        <f t="shared" si="12"/>
        <v>7.603335254609652</v>
      </c>
      <c r="Q73" s="47">
        <f t="shared" si="13"/>
        <v>-0.29666474539034837</v>
      </c>
      <c r="R73" s="48">
        <v>100</v>
      </c>
      <c r="S73" s="36">
        <v>0.7</v>
      </c>
      <c r="T73" s="31">
        <f t="shared" si="14"/>
        <v>7.0000000000000007E-2</v>
      </c>
      <c r="U73" s="30">
        <f t="shared" si="15"/>
        <v>3.9646263457247697</v>
      </c>
      <c r="V73" s="30">
        <f t="shared" si="23"/>
        <v>5.8722980711471322E-3</v>
      </c>
      <c r="W73" s="30">
        <f t="shared" si="16"/>
        <v>0.1982313172862385</v>
      </c>
      <c r="X73" s="30">
        <f t="shared" si="17"/>
        <v>2.9623462889406905E-2</v>
      </c>
      <c r="Y73" s="45">
        <f t="shared" si="18"/>
        <v>1.4972584108111429</v>
      </c>
      <c r="Z73" s="46">
        <f t="shared" si="19"/>
        <v>8.7923476778150942</v>
      </c>
      <c r="AA73" s="47">
        <f t="shared" si="20"/>
        <v>0.89234767781509383</v>
      </c>
      <c r="AB73" s="49">
        <f t="shared" si="21"/>
        <v>0.11295540225507517</v>
      </c>
      <c r="AC73" s="49">
        <f t="shared" si="1"/>
        <v>-1.8277261259047606E-3</v>
      </c>
      <c r="AD73" s="49">
        <f t="shared" si="2"/>
        <v>0.11499330464818902</v>
      </c>
      <c r="AE73" s="50">
        <f t="shared" si="3"/>
        <v>0.11316557852228426</v>
      </c>
    </row>
    <row r="74" spans="2:31" ht="15.75" x14ac:dyDescent="0.25">
      <c r="B74" s="28">
        <v>40</v>
      </c>
      <c r="C74" s="29">
        <v>8.4</v>
      </c>
      <c r="D74" s="29">
        <v>1.6</v>
      </c>
      <c r="E74" s="43">
        <f t="shared" si="4"/>
        <v>5.2500000000000003E-3</v>
      </c>
      <c r="F74" s="43">
        <f t="shared" si="5"/>
        <v>9.4553063796391418E-2</v>
      </c>
      <c r="G74" s="43">
        <f t="shared" si="6"/>
        <v>2.7234681018042939</v>
      </c>
      <c r="H74" s="44">
        <f t="shared" si="7"/>
        <v>94.553063796391413</v>
      </c>
      <c r="I74" s="36">
        <v>0.7</v>
      </c>
      <c r="J74" s="31">
        <f t="shared" si="8"/>
        <v>6.6187144657473981E-2</v>
      </c>
      <c r="K74" s="30">
        <f t="shared" si="9"/>
        <v>3.9646263457247684</v>
      </c>
      <c r="L74" s="30">
        <f t="shared" si="22"/>
        <v>5.2499999999999995E-3</v>
      </c>
      <c r="M74" s="30">
        <f t="shared" si="10"/>
        <v>0.18743378389808413</v>
      </c>
      <c r="N74" s="30">
        <f t="shared" si="11"/>
        <v>2.800989176452124E-2</v>
      </c>
      <c r="O74" s="45">
        <f t="shared" si="0"/>
        <v>1.5424120428594288</v>
      </c>
      <c r="P74" s="46">
        <f t="shared" si="12"/>
        <v>8.0976632250120009</v>
      </c>
      <c r="Q74" s="47">
        <f t="shared" si="13"/>
        <v>-0.30233677498799949</v>
      </c>
      <c r="R74" s="48">
        <v>100</v>
      </c>
      <c r="S74" s="36">
        <v>0.7</v>
      </c>
      <c r="T74" s="31">
        <f t="shared" si="14"/>
        <v>7.0000000000000007E-2</v>
      </c>
      <c r="U74" s="30">
        <f t="shared" si="15"/>
        <v>3.9646263457247697</v>
      </c>
      <c r="V74" s="30">
        <f t="shared" si="23"/>
        <v>5.8722980711471322E-3</v>
      </c>
      <c r="W74" s="30">
        <f t="shared" si="16"/>
        <v>0.1982313172862385</v>
      </c>
      <c r="X74" s="30">
        <f t="shared" si="17"/>
        <v>2.9623462889406905E-2</v>
      </c>
      <c r="Y74" s="45">
        <f t="shared" si="18"/>
        <v>1.6013390780547065</v>
      </c>
      <c r="Z74" s="46">
        <f t="shared" si="19"/>
        <v>9.4035403793131795</v>
      </c>
      <c r="AA74" s="47">
        <f t="shared" si="20"/>
        <v>1.0035403793131792</v>
      </c>
      <c r="AB74" s="49">
        <f t="shared" si="21"/>
        <v>0.11946909277537854</v>
      </c>
      <c r="AC74" s="49">
        <f t="shared" si="1"/>
        <v>8.3692378419142344E-4</v>
      </c>
      <c r="AD74" s="49">
        <f t="shared" si="2"/>
        <v>0.11853296593278717</v>
      </c>
      <c r="AE74" s="50">
        <f t="shared" si="3"/>
        <v>0.11936988971697859</v>
      </c>
    </row>
    <row r="75" spans="2:31" ht="15.75" x14ac:dyDescent="0.25">
      <c r="B75" s="28">
        <v>45</v>
      </c>
      <c r="C75" s="29">
        <v>8.9</v>
      </c>
      <c r="D75" s="29">
        <v>1.7</v>
      </c>
      <c r="E75" s="43">
        <f t="shared" si="4"/>
        <v>5.2352941176470593E-3</v>
      </c>
      <c r="F75" s="43">
        <f t="shared" si="5"/>
        <v>9.4420543669885323E-2</v>
      </c>
      <c r="G75" s="43">
        <f t="shared" si="6"/>
        <v>2.7897281650573409</v>
      </c>
      <c r="H75" s="44">
        <f t="shared" si="7"/>
        <v>94.420543669885319</v>
      </c>
      <c r="I75" s="36">
        <v>0.7</v>
      </c>
      <c r="J75" s="31">
        <f t="shared" si="8"/>
        <v>6.6094380568919711E-2</v>
      </c>
      <c r="K75" s="30">
        <f t="shared" si="9"/>
        <v>3.9646263457247684</v>
      </c>
      <c r="L75" s="30">
        <f t="shared" si="22"/>
        <v>5.2352941176470576E-3</v>
      </c>
      <c r="M75" s="30">
        <f t="shared" si="10"/>
        <v>0.18717108750564168</v>
      </c>
      <c r="N75" s="30">
        <f t="shared" si="11"/>
        <v>2.7970634714024712E-2</v>
      </c>
      <c r="O75" s="45">
        <f t="shared" si="0"/>
        <v>1.6350558184381379</v>
      </c>
      <c r="P75" s="46">
        <f t="shared" si="12"/>
        <v>8.5599981082937777</v>
      </c>
      <c r="Q75" s="47">
        <f t="shared" si="13"/>
        <v>-0.34000189170622264</v>
      </c>
      <c r="R75" s="48">
        <v>100</v>
      </c>
      <c r="S75" s="36">
        <v>0.7</v>
      </c>
      <c r="T75" s="31">
        <f t="shared" si="14"/>
        <v>7.0000000000000007E-2</v>
      </c>
      <c r="U75" s="30">
        <f t="shared" si="15"/>
        <v>3.9646263457247697</v>
      </c>
      <c r="V75" s="30">
        <f t="shared" si="23"/>
        <v>5.8722980711471322E-3</v>
      </c>
      <c r="W75" s="30">
        <f t="shared" si="16"/>
        <v>0.1982313172862385</v>
      </c>
      <c r="X75" s="30">
        <f t="shared" si="17"/>
        <v>2.9623462889406905E-2</v>
      </c>
      <c r="Y75" s="45">
        <f t="shared" si="18"/>
        <v>1.6990952781130892</v>
      </c>
      <c r="Z75" s="46">
        <f t="shared" si="19"/>
        <v>9.9775939243586933</v>
      </c>
      <c r="AA75" s="47">
        <f t="shared" si="20"/>
        <v>1.0775939243586929</v>
      </c>
      <c r="AB75" s="49">
        <f t="shared" si="21"/>
        <v>0.12107796902906665</v>
      </c>
      <c r="AC75" s="49">
        <f t="shared" si="1"/>
        <v>-5.321893452415738E-4</v>
      </c>
      <c r="AD75" s="49">
        <f t="shared" si="2"/>
        <v>0.12167491246630635</v>
      </c>
      <c r="AE75" s="50">
        <f t="shared" si="3"/>
        <v>0.12114272312106478</v>
      </c>
    </row>
    <row r="76" spans="2:31" ht="15.75" x14ac:dyDescent="0.25">
      <c r="B76" s="28">
        <v>50</v>
      </c>
      <c r="C76" s="29">
        <v>9.4</v>
      </c>
      <c r="D76" s="29">
        <v>1.7</v>
      </c>
      <c r="E76" s="43">
        <f t="shared" si="4"/>
        <v>5.5294117647058825E-3</v>
      </c>
      <c r="F76" s="43">
        <f t="shared" si="5"/>
        <v>9.7036566274119537E-2</v>
      </c>
      <c r="G76" s="43">
        <f t="shared" si="6"/>
        <v>1.4817168629402342</v>
      </c>
      <c r="H76" s="44">
        <f t="shared" si="7"/>
        <v>97.036566274119537</v>
      </c>
      <c r="I76" s="36">
        <v>0.7</v>
      </c>
      <c r="J76" s="31">
        <f t="shared" si="8"/>
        <v>6.7925596391883669E-2</v>
      </c>
      <c r="K76" s="30">
        <f t="shared" si="9"/>
        <v>3.9646263457247688</v>
      </c>
      <c r="L76" s="30">
        <f t="shared" si="22"/>
        <v>5.5294117647058817E-3</v>
      </c>
      <c r="M76" s="30">
        <f t="shared" si="10"/>
        <v>0.19235686357452095</v>
      </c>
      <c r="N76" s="30">
        <f t="shared" si="11"/>
        <v>2.8745591199368533E-2</v>
      </c>
      <c r="O76" s="45">
        <f t="shared" si="0"/>
        <v>1.7558843325397646</v>
      </c>
      <c r="P76" s="46">
        <f t="shared" si="12"/>
        <v>9.7090074858081099</v>
      </c>
      <c r="Q76" s="47">
        <f t="shared" si="13"/>
        <v>0.30900748580810955</v>
      </c>
      <c r="R76" s="48">
        <v>100</v>
      </c>
      <c r="S76" s="36">
        <v>0.7</v>
      </c>
      <c r="T76" s="31">
        <f t="shared" si="14"/>
        <v>7.0000000000000007E-2</v>
      </c>
      <c r="U76" s="30">
        <f t="shared" si="15"/>
        <v>3.9646263457247697</v>
      </c>
      <c r="V76" s="30">
        <f t="shared" si="23"/>
        <v>5.8722980711471322E-3</v>
      </c>
      <c r="W76" s="30">
        <f t="shared" si="16"/>
        <v>0.1982313172862385</v>
      </c>
      <c r="X76" s="30">
        <f t="shared" si="17"/>
        <v>2.9623462889406905E-2</v>
      </c>
      <c r="Y76" s="45">
        <f t="shared" si="18"/>
        <v>1.7915565148159052</v>
      </c>
      <c r="Z76" s="46">
        <f t="shared" si="19"/>
        <v>10.520553866304517</v>
      </c>
      <c r="AA76" s="47">
        <f>Z76-C76</f>
        <v>1.1205538663045171</v>
      </c>
      <c r="AB76" s="49">
        <f t="shared" si="21"/>
        <v>0.11920785811750179</v>
      </c>
      <c r="AC76" s="49">
        <f>Y76/D76-1</f>
        <v>5.3856773421120607E-2</v>
      </c>
      <c r="AD76" s="49">
        <f>V76/L76-1</f>
        <v>6.2011353292566573E-2</v>
      </c>
      <c r="AE76" s="50">
        <f>AC76+AD76</f>
        <v>0.11586812671368718</v>
      </c>
    </row>
    <row r="77" spans="2:31" ht="15.75" x14ac:dyDescent="0.25">
      <c r="B77" s="28"/>
      <c r="C77" s="96" t="s">
        <v>89</v>
      </c>
      <c r="D77" s="96"/>
      <c r="E77" s="43"/>
      <c r="F77" s="43"/>
      <c r="G77" s="43"/>
      <c r="H77" s="44"/>
      <c r="I77" s="36"/>
      <c r="J77" s="31"/>
      <c r="K77" s="30"/>
      <c r="L77" s="30"/>
      <c r="M77" s="30"/>
      <c r="N77" s="30"/>
      <c r="O77" s="45"/>
      <c r="P77" s="46"/>
      <c r="Q77" s="47"/>
      <c r="R77" s="48"/>
      <c r="S77" s="36"/>
      <c r="T77" s="31"/>
      <c r="U77" s="30"/>
      <c r="V77" s="30"/>
      <c r="W77" s="30"/>
      <c r="X77" s="30"/>
      <c r="Y77" s="45"/>
      <c r="Z77" s="46"/>
      <c r="AA77" s="47"/>
      <c r="AB77" s="49"/>
      <c r="AC77" s="49"/>
      <c r="AD77" s="49"/>
      <c r="AE77" s="50"/>
    </row>
    <row r="78" spans="2:31" ht="45.75" x14ac:dyDescent="0.25">
      <c r="B78" s="28" t="s">
        <v>60</v>
      </c>
      <c r="C78" s="29" t="s">
        <v>61</v>
      </c>
      <c r="D78" s="29" t="s">
        <v>62</v>
      </c>
      <c r="E78" s="34" t="s">
        <v>63</v>
      </c>
      <c r="F78" s="34" t="s">
        <v>64</v>
      </c>
      <c r="G78" s="35" t="s">
        <v>65</v>
      </c>
      <c r="H78" s="35" t="s">
        <v>66</v>
      </c>
      <c r="I78" s="36" t="s">
        <v>67</v>
      </c>
      <c r="J78" s="36" t="s">
        <v>68</v>
      </c>
      <c r="K78" s="37" t="s">
        <v>69</v>
      </c>
      <c r="L78" s="36" t="s">
        <v>70</v>
      </c>
      <c r="M78" s="38" t="s">
        <v>71</v>
      </c>
      <c r="N78" s="38" t="s">
        <v>72</v>
      </c>
      <c r="O78" s="36" t="s">
        <v>73</v>
      </c>
      <c r="P78" s="36" t="s">
        <v>74</v>
      </c>
      <c r="Q78" s="39" t="s">
        <v>75</v>
      </c>
      <c r="R78" s="40" t="s">
        <v>66</v>
      </c>
      <c r="S78" s="36" t="s">
        <v>67</v>
      </c>
      <c r="T78" s="36" t="s">
        <v>68</v>
      </c>
      <c r="U78" s="37" t="s">
        <v>69</v>
      </c>
      <c r="V78" s="36" t="s">
        <v>70</v>
      </c>
      <c r="W78" s="38" t="s">
        <v>71</v>
      </c>
      <c r="X78" s="38" t="s">
        <v>72</v>
      </c>
      <c r="Y78" s="36" t="s">
        <v>73</v>
      </c>
      <c r="Z78" s="36" t="s">
        <v>74</v>
      </c>
      <c r="AA78" s="39" t="s">
        <v>75</v>
      </c>
      <c r="AB78" s="39"/>
      <c r="AC78" s="39" t="s">
        <v>76</v>
      </c>
      <c r="AD78" s="39" t="s">
        <v>77</v>
      </c>
      <c r="AE78" s="41" t="s">
        <v>78</v>
      </c>
    </row>
    <row r="79" spans="2:31" x14ac:dyDescent="0.25">
      <c r="B79" s="28" t="s">
        <v>79</v>
      </c>
      <c r="C79" s="29" t="s">
        <v>80</v>
      </c>
      <c r="D79" s="29" t="s">
        <v>81</v>
      </c>
      <c r="E79" s="34" t="s">
        <v>82</v>
      </c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42"/>
      <c r="S79" s="39"/>
      <c r="T79" s="39"/>
      <c r="U79" s="39"/>
      <c r="V79" s="39"/>
      <c r="W79" s="39"/>
      <c r="X79" s="39"/>
      <c r="Y79" s="39"/>
      <c r="Z79" s="39"/>
      <c r="AA79" s="39" t="s">
        <v>83</v>
      </c>
      <c r="AB79" s="39" t="s">
        <v>84</v>
      </c>
      <c r="AC79" s="39"/>
      <c r="AD79" s="39"/>
      <c r="AE79" s="41"/>
    </row>
    <row r="80" spans="2:31" ht="15.75" x14ac:dyDescent="0.25">
      <c r="B80" s="28">
        <v>5</v>
      </c>
      <c r="C80" s="29">
        <v>4.8</v>
      </c>
      <c r="D80" s="29">
        <v>0.6</v>
      </c>
      <c r="E80" s="43">
        <f>C80/1000/D80</f>
        <v>8.0000000000000002E-3</v>
      </c>
      <c r="F80" s="43">
        <f>SQRT(E80*8/($G$64-SIN($G$64)))</f>
        <v>0.11671883594370069</v>
      </c>
      <c r="G80" s="43">
        <f>1000*(0.1-F80)/2</f>
        <v>-8.3594179718503447</v>
      </c>
      <c r="H80" s="44">
        <f>F80*1000</f>
        <v>116.7188359437007</v>
      </c>
      <c r="I80" s="36">
        <v>0.7</v>
      </c>
      <c r="J80" s="31">
        <f>H80*I80/1000</f>
        <v>8.1703185160590483E-2</v>
      </c>
      <c r="K80" s="30">
        <f>2*ACOS(1-2*(J80/(H80*0.001)))</f>
        <v>3.9646263457247688</v>
      </c>
      <c r="L80" s="30">
        <f>((0.001*H80)^2)*(K80-SIN(K80))/8</f>
        <v>8.0000000000000002E-3</v>
      </c>
      <c r="M80" s="30">
        <f>K80*0.001/2*H80</f>
        <v>0.23137328601236146</v>
      </c>
      <c r="N80" s="30">
        <f>H80*0.001/4*(1 - SIN(K80)/K80)</f>
        <v>3.4576161050729894E-2</v>
      </c>
      <c r="O80" s="45">
        <f t="shared" ref="O80:O89" si="24">-2*SQRT(8*g*N80*B80*0.001)*LOG((k/(3.71*4*N80)+ 2.51*v/(4*N80*SQRT(8*g*N80*B80*0.001))))</f>
        <v>0.62118828820330618</v>
      </c>
      <c r="P80" s="46">
        <f>O80*L80*1000</f>
        <v>4.9695063056264495</v>
      </c>
      <c r="Q80" s="47">
        <f>P80-C80</f>
        <v>0.16950630562644964</v>
      </c>
      <c r="R80" s="48">
        <v>125</v>
      </c>
      <c r="S80" s="36">
        <v>0.7</v>
      </c>
      <c r="T80" s="31">
        <f>R80*S80/1000</f>
        <v>8.7499999999999994E-2</v>
      </c>
      <c r="U80" s="30">
        <f>2*ACOS(1-2*(T80/(R80*0.001)))</f>
        <v>3.9646263457247688</v>
      </c>
      <c r="V80" s="30">
        <f>((0.001*R80)^2)*(U80-SIN(U80))/8</f>
        <v>9.1754657361673882E-3</v>
      </c>
      <c r="W80" s="30">
        <f>U80*0.001/2*R80</f>
        <v>0.24778914660779805</v>
      </c>
      <c r="X80" s="30">
        <f>R80*0.001/4*(1 - SIN(U80)/U80)</f>
        <v>3.7029328611758623E-2</v>
      </c>
      <c r="Y80" s="45">
        <f>-2*SQRT(8*g*X80*B80*0.001)*LOG((k/(3.71*4*X80)+ 2.51*v/(4*X80*SQRT(8*g*X80*B80*0.001))))</f>
        <v>0.65035780534981658</v>
      </c>
      <c r="Z80" s="46">
        <f>Y80*V80*1000</f>
        <v>5.9673357592362617</v>
      </c>
      <c r="AA80" s="47">
        <f>Z80-C80</f>
        <v>1.1673357592362619</v>
      </c>
      <c r="AB80" s="49">
        <f>Z80/C80-1</f>
        <v>0.24319494984088785</v>
      </c>
      <c r="AC80" s="49">
        <f t="shared" ref="AC80:AC88" si="25">Y80/D80-1</f>
        <v>8.3929675583027663E-2</v>
      </c>
      <c r="AD80" s="49">
        <f t="shared" ref="AD80:AD88" si="26">V80/L80-1</f>
        <v>0.14693321702092343</v>
      </c>
      <c r="AE80" s="50">
        <f t="shared" ref="AE80:AE88" si="27">AC80+AD80</f>
        <v>0.2308628926039511</v>
      </c>
    </row>
    <row r="81" spans="2:31" ht="15.75" x14ac:dyDescent="0.25">
      <c r="B81" s="28">
        <v>10</v>
      </c>
      <c r="C81" s="29">
        <v>6.8</v>
      </c>
      <c r="D81" s="29">
        <v>0.9</v>
      </c>
      <c r="E81" s="43">
        <f t="shared" ref="E81:E89" si="28">C81/1000/D81</f>
        <v>7.5555555555555549E-3</v>
      </c>
      <c r="F81" s="43">
        <f t="shared" ref="F81:F89" si="29">SQRT(E81*8/($G$64-SIN($G$64)))</f>
        <v>0.11343031960167656</v>
      </c>
      <c r="G81" s="43">
        <f t="shared" ref="G81:G89" si="30">1000*(0.1-F81)/2</f>
        <v>-6.7151598008382756</v>
      </c>
      <c r="H81" s="44">
        <f t="shared" ref="H81:H89" si="31">F81*1000</f>
        <v>113.43031960167656</v>
      </c>
      <c r="I81" s="36">
        <v>0.7</v>
      </c>
      <c r="J81" s="31">
        <f t="shared" ref="J81:J89" si="32">H81*I81/1000</f>
        <v>7.9401223721173586E-2</v>
      </c>
      <c r="K81" s="30">
        <f t="shared" ref="K81:K89" si="33">2*ACOS(1-2*(J81/(H81*0.001)))</f>
        <v>3.9646263457247688</v>
      </c>
      <c r="L81" s="30">
        <f>((0.001*H81)^2)*(K81-SIN(K81))/8</f>
        <v>7.5555555555555549E-3</v>
      </c>
      <c r="M81" s="30">
        <f t="shared" ref="M81:M89" si="34">K81*0.001/2*H81</f>
        <v>0.22485441674839377</v>
      </c>
      <c r="N81" s="30">
        <f t="shared" ref="N81:N89" si="35">H81*0.001/4*(1 - SIN(K81)/K81)</f>
        <v>3.3601988632538292E-2</v>
      </c>
      <c r="O81" s="45">
        <f t="shared" si="24"/>
        <v>0.86583034312777318</v>
      </c>
      <c r="P81" s="46">
        <f t="shared" ref="P81:P89" si="36">O81*L81*1000</f>
        <v>6.5418292591876188</v>
      </c>
      <c r="Q81" s="47">
        <f t="shared" ref="Q81:Q89" si="37">P81-C81</f>
        <v>-0.25817074081238101</v>
      </c>
      <c r="R81" s="48">
        <v>125</v>
      </c>
      <c r="S81" s="36">
        <v>0.7</v>
      </c>
      <c r="T81" s="31">
        <f t="shared" ref="T81:T89" si="38">R81*S81/1000</f>
        <v>8.7499999999999994E-2</v>
      </c>
      <c r="U81" s="30">
        <f t="shared" ref="U81:U89" si="39">2*ACOS(1-2*(T81/(R81*0.001)))</f>
        <v>3.9646263457247688</v>
      </c>
      <c r="V81" s="30">
        <f>((0.001*R81)^2)*(U81-SIN(U81))/8</f>
        <v>9.1754657361673882E-3</v>
      </c>
      <c r="W81" s="30">
        <f t="shared" ref="W81:W89" si="40">U81*0.001/2*R81</f>
        <v>0.24778914660779805</v>
      </c>
      <c r="X81" s="30">
        <f t="shared" ref="X81:X89" si="41">R81*0.001/4*(1 - SIN(U81)/U81)</f>
        <v>3.7029328611758623E-2</v>
      </c>
      <c r="Y81" s="45">
        <f t="shared" ref="Y81:Y89" si="42">-2*SQRT(8*g*X81*B81*0.001)*LOG((k/(3.71*4*X81)+ 2.51*v/(4*X81*SQRT(8*g*X81*B81*0.001))))</f>
        <v>0.92378497342846499</v>
      </c>
      <c r="Z81" s="46">
        <f t="shared" ref="Z81:Z89" si="43">Y81*V81*1000</f>
        <v>8.4761573712791822</v>
      </c>
      <c r="AA81" s="47">
        <f t="shared" ref="AA81:AA88" si="44">Z81-C81</f>
        <v>1.6761573712791824</v>
      </c>
      <c r="AB81" s="49">
        <f t="shared" ref="AB81:AB89" si="45">Z81/C81-1</f>
        <v>0.24649373107046801</v>
      </c>
      <c r="AC81" s="49">
        <f t="shared" si="25"/>
        <v>2.642774825384997E-2</v>
      </c>
      <c r="AD81" s="49">
        <f t="shared" si="26"/>
        <v>0.21439987684568385</v>
      </c>
      <c r="AE81" s="50">
        <f t="shared" si="27"/>
        <v>0.24082762509953382</v>
      </c>
    </row>
    <row r="82" spans="2:31" ht="15.75" x14ac:dyDescent="0.25">
      <c r="B82" s="28">
        <v>15</v>
      </c>
      <c r="C82" s="29">
        <v>8.3000000000000007</v>
      </c>
      <c r="D82" s="29">
        <v>1.1000000000000001</v>
      </c>
      <c r="E82" s="43">
        <f t="shared" si="28"/>
        <v>7.5454545454545453E-3</v>
      </c>
      <c r="F82" s="43">
        <f t="shared" si="29"/>
        <v>0.11335447183685861</v>
      </c>
      <c r="G82" s="43">
        <f t="shared" si="30"/>
        <v>-6.6772359184293011</v>
      </c>
      <c r="H82" s="44">
        <f t="shared" si="31"/>
        <v>113.35447183685861</v>
      </c>
      <c r="I82" s="36">
        <v>0.7</v>
      </c>
      <c r="J82" s="31">
        <f t="shared" si="32"/>
        <v>7.9348130285801025E-2</v>
      </c>
      <c r="K82" s="30">
        <f t="shared" si="33"/>
        <v>3.9646263457247688</v>
      </c>
      <c r="L82" s="30">
        <f t="shared" ref="L82:L89" si="46">((0.001*H82)^2)*(K82-SIN(K82))/8</f>
        <v>7.5454545454545462E-3</v>
      </c>
      <c r="M82" s="30">
        <f t="shared" si="34"/>
        <v>0.22470406272506299</v>
      </c>
      <c r="N82" s="30">
        <f t="shared" si="35"/>
        <v>3.3579519898075005E-2</v>
      </c>
      <c r="O82" s="45">
        <f t="shared" si="24"/>
        <v>1.0621763557415267</v>
      </c>
      <c r="P82" s="46">
        <f t="shared" si="36"/>
        <v>8.0146034115042468</v>
      </c>
      <c r="Q82" s="47">
        <f t="shared" si="37"/>
        <v>-0.28539658849575389</v>
      </c>
      <c r="R82" s="48">
        <v>125</v>
      </c>
      <c r="S82" s="36">
        <v>0.7</v>
      </c>
      <c r="T82" s="31">
        <f t="shared" si="38"/>
        <v>8.7499999999999994E-2</v>
      </c>
      <c r="U82" s="30">
        <f t="shared" si="39"/>
        <v>3.9646263457247688</v>
      </c>
      <c r="V82" s="30">
        <f t="shared" ref="V82:V89" si="47">((0.001*R82)^2)*(U82-SIN(U82))/8</f>
        <v>9.1754657361673882E-3</v>
      </c>
      <c r="W82" s="30">
        <f t="shared" si="40"/>
        <v>0.24778914660779805</v>
      </c>
      <c r="X82" s="30">
        <f t="shared" si="41"/>
        <v>3.7029328611758623E-2</v>
      </c>
      <c r="Y82" s="45">
        <f t="shared" si="42"/>
        <v>1.1336369351098901</v>
      </c>
      <c r="Z82" s="46">
        <f t="shared" si="43"/>
        <v>10.401646855354608</v>
      </c>
      <c r="AA82" s="47">
        <f t="shared" si="44"/>
        <v>2.1016468553546073</v>
      </c>
      <c r="AB82" s="49">
        <f t="shared" si="45"/>
        <v>0.25321046450055507</v>
      </c>
      <c r="AC82" s="49">
        <f t="shared" si="25"/>
        <v>3.0579031918081867E-2</v>
      </c>
      <c r="AD82" s="49">
        <f t="shared" si="26"/>
        <v>0.21602557949206336</v>
      </c>
      <c r="AE82" s="50">
        <f t="shared" si="27"/>
        <v>0.24660461141014522</v>
      </c>
    </row>
    <row r="83" spans="2:31" ht="15.75" x14ac:dyDescent="0.25">
      <c r="B83" s="28">
        <v>20</v>
      </c>
      <c r="C83" s="29">
        <v>9.6</v>
      </c>
      <c r="D83" s="29">
        <v>1.2</v>
      </c>
      <c r="E83" s="43">
        <f t="shared" si="28"/>
        <v>8.0000000000000002E-3</v>
      </c>
      <c r="F83" s="43">
        <f t="shared" si="29"/>
        <v>0.11671883594370069</v>
      </c>
      <c r="G83" s="43">
        <f t="shared" si="30"/>
        <v>-8.3594179718503447</v>
      </c>
      <c r="H83" s="44">
        <f t="shared" si="31"/>
        <v>116.7188359437007</v>
      </c>
      <c r="I83" s="36">
        <v>0.7</v>
      </c>
      <c r="J83" s="31">
        <f t="shared" si="32"/>
        <v>8.1703185160590483E-2</v>
      </c>
      <c r="K83" s="30">
        <f t="shared" si="33"/>
        <v>3.9646263457247688</v>
      </c>
      <c r="L83" s="30">
        <f t="shared" si="46"/>
        <v>8.0000000000000002E-3</v>
      </c>
      <c r="M83" s="30">
        <f t="shared" si="34"/>
        <v>0.23137328601236146</v>
      </c>
      <c r="N83" s="30">
        <f t="shared" si="35"/>
        <v>3.4576161050729894E-2</v>
      </c>
      <c r="O83" s="45">
        <f t="shared" si="24"/>
        <v>1.252202520358513</v>
      </c>
      <c r="P83" s="46">
        <f t="shared" si="36"/>
        <v>10.017620162868104</v>
      </c>
      <c r="Q83" s="47">
        <f t="shared" si="37"/>
        <v>0.41762016286810422</v>
      </c>
      <c r="R83" s="48">
        <v>125</v>
      </c>
      <c r="S83" s="36">
        <v>0.7</v>
      </c>
      <c r="T83" s="31">
        <f t="shared" si="38"/>
        <v>8.7499999999999994E-2</v>
      </c>
      <c r="U83" s="30">
        <f t="shared" si="39"/>
        <v>3.9646263457247688</v>
      </c>
      <c r="V83" s="30">
        <f t="shared" si="47"/>
        <v>9.1754657361673882E-3</v>
      </c>
      <c r="W83" s="30">
        <f t="shared" si="40"/>
        <v>0.24778914660779805</v>
      </c>
      <c r="X83" s="30">
        <f t="shared" si="41"/>
        <v>3.7029328611758623E-2</v>
      </c>
      <c r="Y83" s="45">
        <f t="shared" si="42"/>
        <v>1.3105656081526644</v>
      </c>
      <c r="Z83" s="46">
        <f t="shared" si="43"/>
        <v>12.025049832604148</v>
      </c>
      <c r="AA83" s="47">
        <f t="shared" si="44"/>
        <v>2.4250498326041487</v>
      </c>
      <c r="AB83" s="49">
        <f t="shared" si="45"/>
        <v>0.25260935756293224</v>
      </c>
      <c r="AC83" s="49">
        <f t="shared" si="25"/>
        <v>9.2138006793887062E-2</v>
      </c>
      <c r="AD83" s="49">
        <f t="shared" si="26"/>
        <v>0.14693321702092343</v>
      </c>
      <c r="AE83" s="50">
        <f t="shared" si="27"/>
        <v>0.2390712238148105</v>
      </c>
    </row>
    <row r="84" spans="2:31" ht="15.75" x14ac:dyDescent="0.25">
      <c r="B84" s="28">
        <v>25</v>
      </c>
      <c r="C84" s="29">
        <v>10.8</v>
      </c>
      <c r="D84" s="29">
        <v>1.4</v>
      </c>
      <c r="E84" s="43">
        <f t="shared" si="28"/>
        <v>7.7142857142857152E-3</v>
      </c>
      <c r="F84" s="43">
        <f t="shared" si="29"/>
        <v>0.11461562158695877</v>
      </c>
      <c r="G84" s="43">
        <f t="shared" si="30"/>
        <v>-7.3078107934793843</v>
      </c>
      <c r="H84" s="44">
        <f t="shared" si="31"/>
        <v>114.61562158695878</v>
      </c>
      <c r="I84" s="36">
        <v>0.7</v>
      </c>
      <c r="J84" s="31">
        <f t="shared" si="32"/>
        <v>8.0230935110871149E-2</v>
      </c>
      <c r="K84" s="30">
        <f t="shared" si="33"/>
        <v>3.9646263457247688</v>
      </c>
      <c r="L84" s="30">
        <f t="shared" si="46"/>
        <v>7.7142857142857169E-3</v>
      </c>
      <c r="M84" s="30">
        <f t="shared" si="34"/>
        <v>0.22720405648763867</v>
      </c>
      <c r="N84" s="30">
        <f t="shared" si="35"/>
        <v>3.395311612627578E-2</v>
      </c>
      <c r="O84" s="45">
        <f t="shared" si="24"/>
        <v>1.3843473111465683</v>
      </c>
      <c r="P84" s="46">
        <f t="shared" si="36"/>
        <v>10.679250685987816</v>
      </c>
      <c r="Q84" s="47">
        <f t="shared" si="37"/>
        <v>-0.12074931401218514</v>
      </c>
      <c r="R84" s="48">
        <v>125</v>
      </c>
      <c r="S84" s="36">
        <v>0.7</v>
      </c>
      <c r="T84" s="31">
        <f t="shared" si="38"/>
        <v>8.7499999999999994E-2</v>
      </c>
      <c r="U84" s="30">
        <f t="shared" si="39"/>
        <v>3.9646263457247688</v>
      </c>
      <c r="V84" s="30">
        <f t="shared" si="47"/>
        <v>9.1754657361673882E-3</v>
      </c>
      <c r="W84" s="30">
        <f t="shared" si="40"/>
        <v>0.24778914660779805</v>
      </c>
      <c r="X84" s="30">
        <f t="shared" si="41"/>
        <v>3.7029328611758623E-2</v>
      </c>
      <c r="Y84" s="45">
        <f t="shared" si="42"/>
        <v>1.4664503491527132</v>
      </c>
      <c r="Z84" s="46">
        <f t="shared" si="43"/>
        <v>13.455364932441423</v>
      </c>
      <c r="AA84" s="47">
        <f t="shared" si="44"/>
        <v>2.6553649324414224</v>
      </c>
      <c r="AB84" s="49">
        <f t="shared" si="45"/>
        <v>0.2458671233742058</v>
      </c>
      <c r="AC84" s="49">
        <f t="shared" si="25"/>
        <v>4.7464535109080996E-2</v>
      </c>
      <c r="AD84" s="49">
        <f t="shared" si="26"/>
        <v>0.18941222505873512</v>
      </c>
      <c r="AE84" s="50">
        <f t="shared" si="27"/>
        <v>0.23687676016781611</v>
      </c>
    </row>
    <row r="85" spans="2:31" ht="15.75" x14ac:dyDescent="0.25">
      <c r="B85" s="28">
        <v>30</v>
      </c>
      <c r="C85" s="29">
        <v>11.8</v>
      </c>
      <c r="D85" s="29">
        <v>1.5</v>
      </c>
      <c r="E85" s="43">
        <f t="shared" si="28"/>
        <v>7.8666666666666676E-3</v>
      </c>
      <c r="F85" s="43">
        <f t="shared" si="29"/>
        <v>0.11574209211137629</v>
      </c>
      <c r="G85" s="43">
        <f t="shared" si="30"/>
        <v>-7.871046055688141</v>
      </c>
      <c r="H85" s="44">
        <f t="shared" si="31"/>
        <v>115.74209211137629</v>
      </c>
      <c r="I85" s="36">
        <v>0.7</v>
      </c>
      <c r="J85" s="31">
        <f t="shared" si="32"/>
        <v>8.101946447796339E-2</v>
      </c>
      <c r="K85" s="30">
        <f t="shared" si="33"/>
        <v>3.9646263457247684</v>
      </c>
      <c r="L85" s="30">
        <f t="shared" si="46"/>
        <v>7.8666666666666694E-3</v>
      </c>
      <c r="M85" s="30">
        <f t="shared" si="34"/>
        <v>0.22943707384703269</v>
      </c>
      <c r="N85" s="30">
        <f t="shared" si="35"/>
        <v>3.4286815704036709E-2</v>
      </c>
      <c r="O85" s="45">
        <f t="shared" si="24"/>
        <v>1.5273457485977588</v>
      </c>
      <c r="P85" s="46">
        <f t="shared" si="36"/>
        <v>12.015119888969041</v>
      </c>
      <c r="Q85" s="47">
        <f t="shared" si="37"/>
        <v>0.21511988896904022</v>
      </c>
      <c r="R85" s="48">
        <v>125</v>
      </c>
      <c r="S85" s="36">
        <v>0.7</v>
      </c>
      <c r="T85" s="31">
        <f t="shared" si="38"/>
        <v>8.7499999999999994E-2</v>
      </c>
      <c r="U85" s="30">
        <f t="shared" si="39"/>
        <v>3.9646263457247688</v>
      </c>
      <c r="V85" s="30">
        <f t="shared" si="47"/>
        <v>9.1754657361673882E-3</v>
      </c>
      <c r="W85" s="30">
        <f t="shared" si="40"/>
        <v>0.24778914660779805</v>
      </c>
      <c r="X85" s="30">
        <f t="shared" si="41"/>
        <v>3.7029328611758623E-2</v>
      </c>
      <c r="Y85" s="45">
        <f t="shared" si="42"/>
        <v>1.6073852218062799</v>
      </c>
      <c r="Z85" s="46">
        <f t="shared" si="43"/>
        <v>14.74850802750534</v>
      </c>
      <c r="AA85" s="47">
        <f t="shared" si="44"/>
        <v>2.9485080275053388</v>
      </c>
      <c r="AB85" s="49">
        <f t="shared" si="45"/>
        <v>0.24987356165299479</v>
      </c>
      <c r="AC85" s="49">
        <f t="shared" si="25"/>
        <v>7.159014787085316E-2</v>
      </c>
      <c r="AD85" s="49">
        <f t="shared" si="26"/>
        <v>0.16637276307212523</v>
      </c>
      <c r="AE85" s="50">
        <f t="shared" si="27"/>
        <v>0.23796291094297839</v>
      </c>
    </row>
    <row r="86" spans="2:31" ht="15.75" x14ac:dyDescent="0.25">
      <c r="B86" s="28">
        <v>35</v>
      </c>
      <c r="C86" s="29">
        <v>12.8</v>
      </c>
      <c r="D86" s="29">
        <v>1.6</v>
      </c>
      <c r="E86" s="43">
        <f t="shared" si="28"/>
        <v>8.0000000000000002E-3</v>
      </c>
      <c r="F86" s="43">
        <f t="shared" si="29"/>
        <v>0.11671883594370069</v>
      </c>
      <c r="G86" s="43">
        <f t="shared" si="30"/>
        <v>-8.3594179718503447</v>
      </c>
      <c r="H86" s="44">
        <f t="shared" si="31"/>
        <v>116.7188359437007</v>
      </c>
      <c r="I86" s="36">
        <v>0.7</v>
      </c>
      <c r="J86" s="31">
        <f t="shared" si="32"/>
        <v>8.1703185160590483E-2</v>
      </c>
      <c r="K86" s="30">
        <f t="shared" si="33"/>
        <v>3.9646263457247688</v>
      </c>
      <c r="L86" s="30">
        <f t="shared" si="46"/>
        <v>8.0000000000000002E-3</v>
      </c>
      <c r="M86" s="30">
        <f t="shared" si="34"/>
        <v>0.23137328601236146</v>
      </c>
      <c r="N86" s="30">
        <f t="shared" si="35"/>
        <v>3.4576161050729894E-2</v>
      </c>
      <c r="O86" s="45">
        <f t="shared" si="24"/>
        <v>1.6597789981270077</v>
      </c>
      <c r="P86" s="46">
        <f t="shared" si="36"/>
        <v>13.278231985016062</v>
      </c>
      <c r="Q86" s="47">
        <f t="shared" si="37"/>
        <v>0.47823198501606079</v>
      </c>
      <c r="R86" s="48">
        <v>125</v>
      </c>
      <c r="S86" s="36">
        <v>0.7</v>
      </c>
      <c r="T86" s="31">
        <f t="shared" si="38"/>
        <v>8.7499999999999994E-2</v>
      </c>
      <c r="U86" s="30">
        <f t="shared" si="39"/>
        <v>3.9646263457247688</v>
      </c>
      <c r="V86" s="30">
        <f t="shared" si="47"/>
        <v>9.1754657361673882E-3</v>
      </c>
      <c r="W86" s="30">
        <f t="shared" si="40"/>
        <v>0.24778914660779805</v>
      </c>
      <c r="X86" s="30">
        <f t="shared" si="41"/>
        <v>3.7029328611758623E-2</v>
      </c>
      <c r="Y86" s="45">
        <f t="shared" si="42"/>
        <v>1.7369909551787819</v>
      </c>
      <c r="Z86" s="46">
        <f t="shared" si="43"/>
        <v>15.937700993275575</v>
      </c>
      <c r="AA86" s="47">
        <f t="shared" si="44"/>
        <v>3.1377009932755744</v>
      </c>
      <c r="AB86" s="49">
        <f t="shared" si="45"/>
        <v>0.24513289009965433</v>
      </c>
      <c r="AC86" s="49">
        <f t="shared" si="25"/>
        <v>8.5619346986738565E-2</v>
      </c>
      <c r="AD86" s="49">
        <f>V86/L86-1</f>
        <v>0.14693321702092343</v>
      </c>
      <c r="AE86" s="50">
        <f t="shared" si="27"/>
        <v>0.232552564007662</v>
      </c>
    </row>
    <row r="87" spans="2:31" ht="15.75" x14ac:dyDescent="0.25">
      <c r="B87" s="28">
        <v>40</v>
      </c>
      <c r="C87" s="29">
        <v>13.7</v>
      </c>
      <c r="D87" s="29">
        <v>1.8</v>
      </c>
      <c r="E87" s="43">
        <f t="shared" si="28"/>
        <v>7.6111111111111102E-3</v>
      </c>
      <c r="F87" s="43">
        <f t="shared" si="29"/>
        <v>0.11384657905412768</v>
      </c>
      <c r="G87" s="43">
        <f t="shared" si="30"/>
        <v>-6.9232895270638366</v>
      </c>
      <c r="H87" s="44">
        <f t="shared" si="31"/>
        <v>113.84657905412767</v>
      </c>
      <c r="I87" s="36">
        <v>0.7</v>
      </c>
      <c r="J87" s="31">
        <f t="shared" si="32"/>
        <v>7.9692605337889355E-2</v>
      </c>
      <c r="K87" s="30">
        <f t="shared" si="33"/>
        <v>3.9646263457247684</v>
      </c>
      <c r="L87" s="30">
        <f t="shared" si="46"/>
        <v>7.6111111111111102E-3</v>
      </c>
      <c r="M87" s="30">
        <f t="shared" si="34"/>
        <v>0.2256795733443161</v>
      </c>
      <c r="N87" s="30">
        <f t="shared" si="35"/>
        <v>3.3725299096958802E-2</v>
      </c>
      <c r="O87" s="45">
        <f t="shared" si="24"/>
        <v>1.7459389449518328</v>
      </c>
      <c r="P87" s="46">
        <f t="shared" si="36"/>
        <v>13.288535303244503</v>
      </c>
      <c r="Q87" s="47">
        <f t="shared" si="37"/>
        <v>-0.41146469675549646</v>
      </c>
      <c r="R87" s="48">
        <v>125</v>
      </c>
      <c r="S87" s="36">
        <v>0.7</v>
      </c>
      <c r="T87" s="31">
        <f t="shared" si="38"/>
        <v>8.7499999999999994E-2</v>
      </c>
      <c r="U87" s="30">
        <f t="shared" si="39"/>
        <v>3.9646263457247688</v>
      </c>
      <c r="V87" s="30">
        <f t="shared" si="47"/>
        <v>9.1754657361673882E-3</v>
      </c>
      <c r="W87" s="30">
        <f t="shared" si="40"/>
        <v>0.24778914660779805</v>
      </c>
      <c r="X87" s="30">
        <f t="shared" si="41"/>
        <v>3.7029328611758623E-2</v>
      </c>
      <c r="Y87" s="45">
        <f t="shared" si="42"/>
        <v>1.8576269083177239</v>
      </c>
      <c r="Z87" s="46">
        <f t="shared" si="43"/>
        <v>17.044592047851836</v>
      </c>
      <c r="AA87" s="47">
        <f t="shared" si="44"/>
        <v>3.3445920478518367</v>
      </c>
      <c r="AB87" s="49">
        <f t="shared" si="45"/>
        <v>0.24413080641254292</v>
      </c>
      <c r="AC87" s="49">
        <f t="shared" si="25"/>
        <v>3.2014949065402254E-2</v>
      </c>
      <c r="AD87" s="49">
        <f t="shared" si="26"/>
        <v>0.20553564416797809</v>
      </c>
      <c r="AE87" s="50">
        <f t="shared" si="27"/>
        <v>0.23755059323338035</v>
      </c>
    </row>
    <row r="88" spans="2:31" ht="15.75" x14ac:dyDescent="0.25">
      <c r="B88" s="28">
        <v>45</v>
      </c>
      <c r="C88" s="29">
        <v>14.5</v>
      </c>
      <c r="D88" s="29">
        <v>1.9</v>
      </c>
      <c r="E88" s="43">
        <f t="shared" si="28"/>
        <v>7.6315789473684215E-3</v>
      </c>
      <c r="F88" s="43">
        <f t="shared" si="29"/>
        <v>0.1139995546588605</v>
      </c>
      <c r="G88" s="43">
        <f t="shared" si="30"/>
        <v>-6.9997773294302457</v>
      </c>
      <c r="H88" s="44">
        <f t="shared" si="31"/>
        <v>113.9995546588605</v>
      </c>
      <c r="I88" s="36">
        <v>0.7</v>
      </c>
      <c r="J88" s="31">
        <f t="shared" si="32"/>
        <v>7.9799688261202345E-2</v>
      </c>
      <c r="K88" s="30">
        <f t="shared" si="33"/>
        <v>3.9646263457247684</v>
      </c>
      <c r="L88" s="30">
        <f t="shared" si="46"/>
        <v>7.6315789473684224E-3</v>
      </c>
      <c r="M88" s="30">
        <f t="shared" si="34"/>
        <v>0.2259828189007046</v>
      </c>
      <c r="N88" s="30">
        <f t="shared" si="35"/>
        <v>3.3770615768456677E-2</v>
      </c>
      <c r="O88" s="45">
        <f t="shared" si="24"/>
        <v>1.85412181291263</v>
      </c>
      <c r="P88" s="46">
        <f t="shared" si="36"/>
        <v>14.1498769932806</v>
      </c>
      <c r="Q88" s="47">
        <f t="shared" si="37"/>
        <v>-0.35012300671940011</v>
      </c>
      <c r="R88" s="48">
        <v>125</v>
      </c>
      <c r="S88" s="36">
        <v>0.7</v>
      </c>
      <c r="T88" s="31">
        <f t="shared" si="38"/>
        <v>8.7499999999999994E-2</v>
      </c>
      <c r="U88" s="30">
        <f t="shared" si="39"/>
        <v>3.9646263457247688</v>
      </c>
      <c r="V88" s="30">
        <f t="shared" si="47"/>
        <v>9.1754657361673882E-3</v>
      </c>
      <c r="W88" s="30">
        <f t="shared" si="40"/>
        <v>0.24778914660779805</v>
      </c>
      <c r="X88" s="30">
        <f t="shared" si="41"/>
        <v>3.7029328611758623E-2</v>
      </c>
      <c r="Y88" s="45">
        <f t="shared" si="42"/>
        <v>1.9709320254601188</v>
      </c>
      <c r="Z88" s="46">
        <f t="shared" si="43"/>
        <v>18.084219267924311</v>
      </c>
      <c r="AA88" s="47">
        <f t="shared" si="44"/>
        <v>3.5842192679243112</v>
      </c>
      <c r="AB88" s="49">
        <f t="shared" si="45"/>
        <v>0.24718753571891794</v>
      </c>
      <c r="AC88" s="49">
        <f t="shared" si="25"/>
        <v>3.7332644979009899E-2</v>
      </c>
      <c r="AD88" s="49">
        <f t="shared" si="26"/>
        <v>0.20230240680814027</v>
      </c>
      <c r="AE88" s="50">
        <f t="shared" si="27"/>
        <v>0.23963505178715017</v>
      </c>
    </row>
    <row r="89" spans="2:31" ht="15.75" x14ac:dyDescent="0.25">
      <c r="B89" s="28">
        <v>50</v>
      </c>
      <c r="C89" s="95">
        <v>15.3</v>
      </c>
      <c r="D89" s="95">
        <v>2</v>
      </c>
      <c r="E89" s="43">
        <f t="shared" si="28"/>
        <v>7.6500000000000005E-3</v>
      </c>
      <c r="F89" s="43">
        <f t="shared" si="29"/>
        <v>0.11413705740249405</v>
      </c>
      <c r="G89" s="43">
        <f t="shared" si="30"/>
        <v>-7.0685287012470237</v>
      </c>
      <c r="H89" s="44">
        <f t="shared" si="31"/>
        <v>114.13705740249405</v>
      </c>
      <c r="I89" s="36">
        <v>0.7</v>
      </c>
      <c r="J89" s="31">
        <f t="shared" si="32"/>
        <v>7.9895940181745825E-2</v>
      </c>
      <c r="K89" s="30">
        <f t="shared" si="33"/>
        <v>3.9646263457247688</v>
      </c>
      <c r="L89" s="30">
        <f t="shared" si="46"/>
        <v>7.6500000000000005E-3</v>
      </c>
      <c r="M89" s="30">
        <f t="shared" si="34"/>
        <v>0.22625539240071407</v>
      </c>
      <c r="N89" s="30">
        <f t="shared" si="35"/>
        <v>3.3811348842688875E-2</v>
      </c>
      <c r="O89" s="45">
        <f t="shared" si="24"/>
        <v>1.956536227995215</v>
      </c>
      <c r="P89" s="46">
        <f t="shared" si="36"/>
        <v>14.967502144163396</v>
      </c>
      <c r="Q89" s="47">
        <f t="shared" si="37"/>
        <v>-0.33249785583660518</v>
      </c>
      <c r="R89" s="48">
        <v>125</v>
      </c>
      <c r="S89" s="36">
        <v>0.7</v>
      </c>
      <c r="T89" s="31">
        <f t="shared" si="38"/>
        <v>8.7499999999999994E-2</v>
      </c>
      <c r="U89" s="30">
        <f t="shared" si="39"/>
        <v>3.9646263457247688</v>
      </c>
      <c r="V89" s="30">
        <f t="shared" si="47"/>
        <v>9.1754657361673882E-3</v>
      </c>
      <c r="W89" s="30">
        <f t="shared" si="40"/>
        <v>0.24778914660779805</v>
      </c>
      <c r="X89" s="30">
        <f t="shared" si="41"/>
        <v>3.7029328611758623E-2</v>
      </c>
      <c r="Y89" s="45">
        <f t="shared" si="42"/>
        <v>2.0780996827305427</v>
      </c>
      <c r="Z89" s="46">
        <f t="shared" si="43"/>
        <v>19.067532435234416</v>
      </c>
      <c r="AA89" s="47">
        <f>Z89-C89</f>
        <v>3.7675324352344148</v>
      </c>
      <c r="AB89" s="49">
        <f t="shared" si="45"/>
        <v>0.24624395001532129</v>
      </c>
      <c r="AC89" s="49">
        <f>Y89/D89-1</f>
        <v>3.9049841365271343E-2</v>
      </c>
      <c r="AD89" s="49">
        <f>V89/E89-1</f>
        <v>0.19940728577351474</v>
      </c>
      <c r="AE89" s="50">
        <f>AC89+AD89</f>
        <v>0.23845712713878608</v>
      </c>
    </row>
    <row r="90" spans="2:31" x14ac:dyDescent="0.25">
      <c r="B90" s="51"/>
      <c r="C90" s="29" t="s">
        <v>85</v>
      </c>
      <c r="D90" s="29"/>
      <c r="E90" s="43"/>
      <c r="F90" s="43"/>
      <c r="G90" s="43"/>
      <c r="H90" s="43"/>
      <c r="I90" s="31"/>
      <c r="J90" s="31"/>
      <c r="K90" s="31"/>
      <c r="L90" s="31"/>
      <c r="M90" s="31"/>
      <c r="N90" s="31"/>
      <c r="O90" s="31"/>
      <c r="P90" s="31"/>
      <c r="Q90" s="31"/>
      <c r="R90" s="3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3"/>
    </row>
    <row r="91" spans="2:31" x14ac:dyDescent="0.25">
      <c r="B91" s="51"/>
      <c r="C91" s="29" t="s">
        <v>61</v>
      </c>
      <c r="D91" s="29" t="s">
        <v>62</v>
      </c>
      <c r="E91" s="43"/>
      <c r="F91" s="43"/>
      <c r="G91" s="43"/>
      <c r="H91" s="43"/>
      <c r="I91" s="31"/>
      <c r="J91" s="31"/>
      <c r="K91" s="31"/>
      <c r="L91" s="31"/>
      <c r="M91" s="31"/>
      <c r="N91" s="31"/>
      <c r="O91" s="31"/>
      <c r="P91" s="31"/>
      <c r="Q91" s="31"/>
      <c r="R91" s="3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3"/>
    </row>
    <row r="92" spans="2:31" x14ac:dyDescent="0.25">
      <c r="B92" s="51"/>
      <c r="C92" s="29" t="s">
        <v>80</v>
      </c>
      <c r="D92" s="29" t="s">
        <v>81</v>
      </c>
      <c r="E92" s="43"/>
      <c r="F92" s="43"/>
      <c r="G92" s="43"/>
      <c r="H92" s="43"/>
      <c r="I92" s="31"/>
      <c r="J92" s="31"/>
      <c r="K92" s="31"/>
      <c r="L92" s="31"/>
      <c r="M92" s="31"/>
      <c r="N92" s="31"/>
      <c r="O92" s="31"/>
      <c r="P92" s="31"/>
      <c r="Q92" s="31"/>
      <c r="R92" s="3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3"/>
    </row>
    <row r="93" spans="2:31" ht="15.75" x14ac:dyDescent="0.25">
      <c r="B93" s="28">
        <v>5</v>
      </c>
      <c r="C93" s="29">
        <v>56.8</v>
      </c>
      <c r="D93" s="29">
        <v>1.1000000000000001</v>
      </c>
      <c r="E93" s="43">
        <f>C93/1000/D93</f>
        <v>5.1636363636363626E-2</v>
      </c>
      <c r="F93" s="43">
        <f t="shared" ref="F93:F101" si="48">SQRT(E93*8/($G$64-SIN($G$64)))</f>
        <v>0.2965335107764886</v>
      </c>
      <c r="G93" s="43">
        <f>1000*(0.3-F93)/2</f>
        <v>1.7332446117556966</v>
      </c>
      <c r="H93" s="44">
        <f t="shared" ref="H93:H101" si="49">F93*1000</f>
        <v>296.53351077648858</v>
      </c>
      <c r="I93" s="36">
        <v>0.7</v>
      </c>
      <c r="J93" s="31">
        <f>H93*I93/1000</f>
        <v>0.20757345754354198</v>
      </c>
      <c r="K93" s="30">
        <f>2*ACOS(1-2*(J93/(H93*0.001)))</f>
        <v>3.9646263457247684</v>
      </c>
      <c r="L93" s="30">
        <f>((0.001*H93)^2)*(K93-SIN(K93))/8</f>
        <v>5.1636363636363626E-2</v>
      </c>
      <c r="M93" s="30">
        <f>K93*0.001/2*H93</f>
        <v>0.58782228460736319</v>
      </c>
      <c r="N93" s="30">
        <f>H93*0.001/4*(1 - SIN(K93)/K93)</f>
        <v>8.7843494519528512E-2</v>
      </c>
      <c r="O93" s="45">
        <f t="shared" ref="O93:O102" si="50">-2*SQRT(8*g*N93*B93*0.001)*LOG((k/(3.71*4*N93)+ 2.51*v/(4*N93*SQRT(8*g*N93*B93*0.001))))</f>
        <v>1.146257943531158</v>
      </c>
      <c r="P93" s="46">
        <f>O93*L93*1000</f>
        <v>59.188591993245232</v>
      </c>
      <c r="Q93" s="47">
        <f t="shared" ref="Q93:Q102" si="51">P93-C93</f>
        <v>2.3885919932452353</v>
      </c>
      <c r="R93" s="48">
        <v>300</v>
      </c>
      <c r="S93" s="36">
        <v>0.7</v>
      </c>
      <c r="T93" s="31">
        <f t="shared" ref="T93:T102" si="52">R93*S93/1000</f>
        <v>0.21</v>
      </c>
      <c r="U93" s="30">
        <f t="shared" ref="U93:U102" si="53">2*ACOS(1-2*(T93/(R93*0.001)))</f>
        <v>3.9646263457247688</v>
      </c>
      <c r="V93" s="30">
        <f t="shared" ref="V93:V102" si="54">((0.001*R93)^2)*(U93-SIN(U93))/8</f>
        <v>5.2850682640324151E-2</v>
      </c>
      <c r="W93" s="30">
        <f t="shared" ref="W93:W102" si="55">U93*0.001/2*R93</f>
        <v>0.59469395185871532</v>
      </c>
      <c r="X93" s="30">
        <f t="shared" ref="X93:X102" si="56">R93*0.001/4*(1 - SIN(U93)/U93)</f>
        <v>8.8870388668220696E-2</v>
      </c>
      <c r="Y93" s="45">
        <f t="shared" ref="Y93:Y102" si="57">-2*SQRT(8*g*X93*B93*0.001)*LOG((k/(3.71*4*X93)+ 2.51*v/(4*X93*SQRT(8*g*X93*B93*0.001))))</f>
        <v>1.1548811673612953</v>
      </c>
      <c r="Z93" s="46">
        <f t="shared" ref="Z93:Z102" si="58">Y93*V93*1000</f>
        <v>61.036258063498906</v>
      </c>
      <c r="AA93" s="47">
        <f>Z93-C93</f>
        <v>4.2362580634989087</v>
      </c>
      <c r="AB93" s="49">
        <f t="shared" ref="AB93:AB101" si="59">Z93/C93-1</f>
        <v>7.4582008160192004E-2</v>
      </c>
      <c r="AC93" s="49">
        <f t="shared" ref="AC93:AC101" si="60">Y93/D93-1</f>
        <v>4.9891970328450164E-2</v>
      </c>
      <c r="AD93" s="49">
        <f t="shared" ref="AD93:AD101" si="61">V93/L93-1</f>
        <v>2.3516741273883479E-2</v>
      </c>
      <c r="AE93" s="50">
        <f t="shared" ref="AE93:AE101" si="62">AC93+AD93</f>
        <v>7.3408711602333643E-2</v>
      </c>
    </row>
    <row r="94" spans="2:31" ht="15.75" x14ac:dyDescent="0.25">
      <c r="B94" s="28">
        <v>10</v>
      </c>
      <c r="C94" s="29">
        <v>80.599999999999994</v>
      </c>
      <c r="D94" s="29">
        <v>1.6</v>
      </c>
      <c r="E94" s="43">
        <f t="shared" ref="E94:E101" si="63">C94/1000/D94</f>
        <v>5.0374999999999989E-2</v>
      </c>
      <c r="F94" s="43">
        <f t="shared" si="48"/>
        <v>0.29288928490592769</v>
      </c>
      <c r="G94" s="43">
        <f t="shared" ref="G94:G102" si="64">1000*(0.3-F94)/2</f>
        <v>3.5553575470361478</v>
      </c>
      <c r="H94" s="44">
        <f t="shared" si="49"/>
        <v>292.8892849059277</v>
      </c>
      <c r="I94" s="36">
        <v>0.7</v>
      </c>
      <c r="J94" s="31">
        <f t="shared" ref="J94:J102" si="65">H94*I94/1000</f>
        <v>0.20502249943414938</v>
      </c>
      <c r="K94" s="30">
        <f t="shared" ref="K94:K102" si="66">2*ACOS(1-2*(J94/(H94*0.001)))</f>
        <v>3.9646263457247688</v>
      </c>
      <c r="L94" s="30">
        <f>((0.001*H94)^2)*(K94-SIN(K94))/8</f>
        <v>5.0374999999999989E-2</v>
      </c>
      <c r="M94" s="30">
        <f t="shared" ref="M94:M102" si="67">K94*0.001/2*H94</f>
        <v>0.58059828765926447</v>
      </c>
      <c r="N94" s="30">
        <f t="shared" ref="N94:N102" si="68">H94*0.001/4*(1 - SIN(K94)/K94)</f>
        <v>8.6763948621156731E-2</v>
      </c>
      <c r="O94" s="45">
        <f t="shared" si="50"/>
        <v>1.6123275117440827</v>
      </c>
      <c r="P94" s="46">
        <f t="shared" ref="P94:P102" si="69">O94*L94*1000</f>
        <v>81.220998404108158</v>
      </c>
      <c r="Q94" s="47">
        <f t="shared" si="51"/>
        <v>0.62099840410816398</v>
      </c>
      <c r="R94" s="48">
        <v>300</v>
      </c>
      <c r="S94" s="36">
        <v>0.7</v>
      </c>
      <c r="T94" s="31">
        <f t="shared" si="52"/>
        <v>0.21</v>
      </c>
      <c r="U94" s="30">
        <f t="shared" si="53"/>
        <v>3.9646263457247688</v>
      </c>
      <c r="V94" s="30">
        <f t="shared" si="54"/>
        <v>5.2850682640324151E-2</v>
      </c>
      <c r="W94" s="30">
        <f t="shared" si="55"/>
        <v>0.59469395185871532</v>
      </c>
      <c r="X94" s="30">
        <f t="shared" si="56"/>
        <v>8.8870388668220696E-2</v>
      </c>
      <c r="Y94" s="45">
        <f t="shared" si="57"/>
        <v>1.6374058122445925</v>
      </c>
      <c r="Z94" s="46">
        <f t="shared" si="58"/>
        <v>86.538014936361151</v>
      </c>
      <c r="AA94" s="47">
        <f t="shared" ref="AA94:AA102" si="70">Z94-C94</f>
        <v>5.9380149363611565</v>
      </c>
      <c r="AB94" s="49">
        <f t="shared" si="59"/>
        <v>7.3672641890336843E-2</v>
      </c>
      <c r="AC94" s="49">
        <f t="shared" si="60"/>
        <v>2.3378632652870213E-2</v>
      </c>
      <c r="AD94" s="49">
        <f t="shared" si="61"/>
        <v>4.9145064820330653E-2</v>
      </c>
      <c r="AE94" s="50">
        <f t="shared" si="62"/>
        <v>7.2523697473200865E-2</v>
      </c>
    </row>
    <row r="95" spans="2:31" ht="15.75" x14ac:dyDescent="0.25">
      <c r="B95" s="28">
        <v>15</v>
      </c>
      <c r="C95" s="29">
        <v>98.8</v>
      </c>
      <c r="D95" s="29">
        <v>2</v>
      </c>
      <c r="E95" s="43">
        <f t="shared" si="63"/>
        <v>4.9399999999999999E-2</v>
      </c>
      <c r="F95" s="43">
        <f t="shared" si="48"/>
        <v>0.290041023220034</v>
      </c>
      <c r="G95" s="43">
        <f t="shared" si="64"/>
        <v>4.9794883899829943</v>
      </c>
      <c r="H95" s="44">
        <f t="shared" si="49"/>
        <v>290.04102322003399</v>
      </c>
      <c r="I95" s="36">
        <v>0.7</v>
      </c>
      <c r="J95" s="31">
        <f t="shared" si="65"/>
        <v>0.20302871625402377</v>
      </c>
      <c r="K95" s="30">
        <f t="shared" si="66"/>
        <v>3.9646263457247688</v>
      </c>
      <c r="L95" s="30">
        <f t="shared" ref="L95:L101" si="71">((0.001*H95)^2)*(K95-SIN(K95))/8</f>
        <v>4.9399999999999999E-2</v>
      </c>
      <c r="M95" s="30">
        <f t="shared" si="67"/>
        <v>0.57495214099955805</v>
      </c>
      <c r="N95" s="30">
        <f t="shared" si="68"/>
        <v>8.5920194877642811E-2</v>
      </c>
      <c r="O95" s="45">
        <f t="shared" si="50"/>
        <v>1.9645891906187032</v>
      </c>
      <c r="P95" s="46">
        <f t="shared" si="69"/>
        <v>97.050706016563936</v>
      </c>
      <c r="Q95" s="47">
        <f t="shared" si="51"/>
        <v>-1.7492939834360612</v>
      </c>
      <c r="R95" s="48">
        <v>300</v>
      </c>
      <c r="S95" s="36">
        <v>0.7</v>
      </c>
      <c r="T95" s="31">
        <f t="shared" si="52"/>
        <v>0.21</v>
      </c>
      <c r="U95" s="30">
        <f t="shared" si="53"/>
        <v>3.9646263457247688</v>
      </c>
      <c r="V95" s="30">
        <f t="shared" si="54"/>
        <v>5.2850682640324151E-2</v>
      </c>
      <c r="W95" s="30">
        <f t="shared" si="55"/>
        <v>0.59469395185871532</v>
      </c>
      <c r="X95" s="30">
        <f t="shared" si="56"/>
        <v>8.8870388668220696E-2</v>
      </c>
      <c r="Y95" s="45">
        <f t="shared" si="57"/>
        <v>2.0076898339862743</v>
      </c>
      <c r="Z95" s="46">
        <f t="shared" si="58"/>
        <v>106.10777825621366</v>
      </c>
      <c r="AA95" s="47">
        <f t="shared" si="70"/>
        <v>7.3077782562136662</v>
      </c>
      <c r="AB95" s="49">
        <f t="shared" si="59"/>
        <v>7.3965366965725421E-2</v>
      </c>
      <c r="AC95" s="49">
        <f t="shared" si="60"/>
        <v>3.8449169931371596E-3</v>
      </c>
      <c r="AD95" s="49">
        <f t="shared" si="61"/>
        <v>6.9851875310205536E-2</v>
      </c>
      <c r="AE95" s="50">
        <f t="shared" si="62"/>
        <v>7.3696792303342695E-2</v>
      </c>
    </row>
    <row r="96" spans="2:31" ht="15.75" x14ac:dyDescent="0.25">
      <c r="B96" s="28">
        <v>20</v>
      </c>
      <c r="C96" s="29">
        <v>114.2</v>
      </c>
      <c r="D96" s="29">
        <v>2.2999999999999998</v>
      </c>
      <c r="E96" s="43">
        <f t="shared" si="63"/>
        <v>4.9652173913043482E-2</v>
      </c>
      <c r="F96" s="43">
        <f t="shared" si="48"/>
        <v>0.29078037216918151</v>
      </c>
      <c r="G96" s="43">
        <f t="shared" si="64"/>
        <v>4.609813915409239</v>
      </c>
      <c r="H96" s="44">
        <f t="shared" si="49"/>
        <v>290.78037216918153</v>
      </c>
      <c r="I96" s="36">
        <v>0.7</v>
      </c>
      <c r="J96" s="31">
        <f t="shared" si="65"/>
        <v>0.20354626051842706</v>
      </c>
      <c r="K96" s="30">
        <f t="shared" si="66"/>
        <v>3.9646263457247688</v>
      </c>
      <c r="L96" s="30">
        <f t="shared" si="71"/>
        <v>4.9652173913043489E-2</v>
      </c>
      <c r="M96" s="30">
        <f t="shared" si="67"/>
        <v>0.57641776216079521</v>
      </c>
      <c r="N96" s="30">
        <f t="shared" si="68"/>
        <v>8.6139215639216754E-2</v>
      </c>
      <c r="O96" s="45">
        <f t="shared" si="50"/>
        <v>2.2738122856090035</v>
      </c>
      <c r="P96" s="46">
        <f t="shared" si="69"/>
        <v>112.89972305067316</v>
      </c>
      <c r="Q96" s="47">
        <f t="shared" si="51"/>
        <v>-1.3002769493268431</v>
      </c>
      <c r="R96" s="48">
        <v>300</v>
      </c>
      <c r="S96" s="36">
        <v>0.7</v>
      </c>
      <c r="T96" s="31">
        <f t="shared" si="52"/>
        <v>0.21</v>
      </c>
      <c r="U96" s="30">
        <f t="shared" si="53"/>
        <v>3.9646263457247688</v>
      </c>
      <c r="V96" s="30">
        <f t="shared" si="54"/>
        <v>5.2850682640324151E-2</v>
      </c>
      <c r="W96" s="30">
        <f t="shared" si="55"/>
        <v>0.59469395185871532</v>
      </c>
      <c r="X96" s="30">
        <f t="shared" si="56"/>
        <v>8.8870388668220696E-2</v>
      </c>
      <c r="Y96" s="45">
        <f t="shared" si="57"/>
        <v>2.3198639805139267</v>
      </c>
      <c r="Z96" s="46">
        <f t="shared" si="58"/>
        <v>122.60639500286068</v>
      </c>
      <c r="AA96" s="47">
        <f t="shared" si="70"/>
        <v>8.4063950028606769</v>
      </c>
      <c r="AB96" s="49">
        <f t="shared" si="59"/>
        <v>7.3611164648517358E-2</v>
      </c>
      <c r="AC96" s="49">
        <f t="shared" si="60"/>
        <v>8.6365132669248279E-3</v>
      </c>
      <c r="AD96" s="49">
        <f t="shared" si="61"/>
        <v>6.4418301862920524E-2</v>
      </c>
      <c r="AE96" s="50">
        <f t="shared" si="62"/>
        <v>7.3054815129845352E-2</v>
      </c>
    </row>
    <row r="97" spans="2:31" ht="15.75" x14ac:dyDescent="0.25">
      <c r="B97" s="28">
        <v>25</v>
      </c>
      <c r="C97" s="29">
        <v>127.7</v>
      </c>
      <c r="D97" s="29">
        <v>2.6</v>
      </c>
      <c r="E97" s="43">
        <f t="shared" si="63"/>
        <v>4.9115384615384616E-2</v>
      </c>
      <c r="F97" s="43">
        <f t="shared" si="48"/>
        <v>0.28920428857266695</v>
      </c>
      <c r="G97" s="43">
        <f t="shared" si="64"/>
        <v>5.3978557136665213</v>
      </c>
      <c r="H97" s="44">
        <f t="shared" si="49"/>
        <v>289.20428857266694</v>
      </c>
      <c r="I97" s="36">
        <v>0.7</v>
      </c>
      <c r="J97" s="31">
        <f t="shared" si="65"/>
        <v>0.20244300200086685</v>
      </c>
      <c r="K97" s="30">
        <f t="shared" si="66"/>
        <v>3.9646263457247688</v>
      </c>
      <c r="L97" s="30">
        <f t="shared" si="71"/>
        <v>4.9115384615384602E-2</v>
      </c>
      <c r="M97" s="30">
        <f t="shared" si="67"/>
        <v>0.573293470885892</v>
      </c>
      <c r="N97" s="30">
        <f t="shared" si="68"/>
        <v>8.5672325099897223E-2</v>
      </c>
      <c r="O97" s="45">
        <f t="shared" si="50"/>
        <v>2.5345466987100687</v>
      </c>
      <c r="P97" s="46">
        <f t="shared" si="69"/>
        <v>124.48523593279833</v>
      </c>
      <c r="Q97" s="47">
        <f t="shared" si="51"/>
        <v>-3.2147640672016706</v>
      </c>
      <c r="R97" s="48">
        <v>300</v>
      </c>
      <c r="S97" s="36">
        <v>0.7</v>
      </c>
      <c r="T97" s="31">
        <f t="shared" si="52"/>
        <v>0.21</v>
      </c>
      <c r="U97" s="30">
        <f t="shared" si="53"/>
        <v>3.9646263457247688</v>
      </c>
      <c r="V97" s="30">
        <f t="shared" si="54"/>
        <v>5.2850682640324151E-2</v>
      </c>
      <c r="W97" s="30">
        <f t="shared" si="55"/>
        <v>0.59469395185871532</v>
      </c>
      <c r="X97" s="30">
        <f t="shared" si="56"/>
        <v>8.8870388668220696E-2</v>
      </c>
      <c r="Y97" s="45">
        <f t="shared" si="57"/>
        <v>2.5948999054645241</v>
      </c>
      <c r="Z97" s="46">
        <f t="shared" si="58"/>
        <v>137.1422313871127</v>
      </c>
      <c r="AA97" s="47">
        <f t="shared" si="70"/>
        <v>9.4422313871126988</v>
      </c>
      <c r="AB97" s="49">
        <f t="shared" si="59"/>
        <v>7.3940731300804252E-2</v>
      </c>
      <c r="AC97" s="49">
        <f t="shared" si="60"/>
        <v>-1.9615748213369644E-3</v>
      </c>
      <c r="AD97" s="49">
        <f t="shared" si="61"/>
        <v>7.6051486803780932E-2</v>
      </c>
      <c r="AE97" s="50">
        <f t="shared" si="62"/>
        <v>7.4089911982443968E-2</v>
      </c>
    </row>
    <row r="98" spans="2:31" ht="15.75" x14ac:dyDescent="0.25">
      <c r="B98" s="28">
        <v>30</v>
      </c>
      <c r="C98" s="29">
        <v>140</v>
      </c>
      <c r="D98" s="29">
        <v>2.8</v>
      </c>
      <c r="E98" s="43">
        <f t="shared" si="63"/>
        <v>5.000000000000001E-2</v>
      </c>
      <c r="F98" s="43">
        <f t="shared" si="48"/>
        <v>0.29179708985925179</v>
      </c>
      <c r="G98" s="43">
        <f t="shared" si="64"/>
        <v>4.1014550703740991</v>
      </c>
      <c r="H98" s="44">
        <f t="shared" si="49"/>
        <v>291.7970898592518</v>
      </c>
      <c r="I98" s="36">
        <v>0.7</v>
      </c>
      <c r="J98" s="31">
        <f t="shared" si="65"/>
        <v>0.20425796290147624</v>
      </c>
      <c r="K98" s="30">
        <f t="shared" si="66"/>
        <v>3.9646263457247688</v>
      </c>
      <c r="L98" s="30">
        <f t="shared" si="71"/>
        <v>5.0000000000000017E-2</v>
      </c>
      <c r="M98" s="30">
        <f t="shared" si="67"/>
        <v>0.57843321503090372</v>
      </c>
      <c r="N98" s="30">
        <f t="shared" si="68"/>
        <v>8.6440402626824758E-2</v>
      </c>
      <c r="O98" s="45">
        <f t="shared" si="50"/>
        <v>2.7934055128585595</v>
      </c>
      <c r="P98" s="46">
        <f t="shared" si="69"/>
        <v>139.67027564292803</v>
      </c>
      <c r="Q98" s="47">
        <f t="shared" si="51"/>
        <v>-0.32972435707196723</v>
      </c>
      <c r="R98" s="48">
        <v>300</v>
      </c>
      <c r="S98" s="36">
        <v>0.7</v>
      </c>
      <c r="T98" s="31">
        <f t="shared" si="52"/>
        <v>0.21</v>
      </c>
      <c r="U98" s="30">
        <f t="shared" si="53"/>
        <v>3.9646263457247688</v>
      </c>
      <c r="V98" s="30">
        <f t="shared" si="54"/>
        <v>5.2850682640324151E-2</v>
      </c>
      <c r="W98" s="30">
        <f t="shared" si="55"/>
        <v>0.59469395185871532</v>
      </c>
      <c r="X98" s="30">
        <f t="shared" si="56"/>
        <v>8.8870388668220696E-2</v>
      </c>
      <c r="Y98" s="45">
        <f t="shared" si="57"/>
        <v>2.8435542480647156</v>
      </c>
      <c r="Z98" s="46">
        <f t="shared" si="58"/>
        <v>150.28378313501386</v>
      </c>
      <c r="AA98" s="47">
        <f t="shared" si="70"/>
        <v>10.283783135013863</v>
      </c>
      <c r="AB98" s="49">
        <f t="shared" si="59"/>
        <v>7.3455593821527554E-2</v>
      </c>
      <c r="AC98" s="49">
        <f t="shared" si="60"/>
        <v>1.5555088594541244E-2</v>
      </c>
      <c r="AD98" s="49">
        <f t="shared" si="61"/>
        <v>5.7013652806482629E-2</v>
      </c>
      <c r="AE98" s="50">
        <f t="shared" si="62"/>
        <v>7.2568741401023873E-2</v>
      </c>
    </row>
    <row r="99" spans="2:31" ht="15.75" x14ac:dyDescent="0.25">
      <c r="B99" s="28">
        <v>35</v>
      </c>
      <c r="C99" s="29">
        <v>151.19999999999999</v>
      </c>
      <c r="D99" s="29">
        <v>3</v>
      </c>
      <c r="E99" s="43">
        <f t="shared" si="63"/>
        <v>5.04E-2</v>
      </c>
      <c r="F99" s="43">
        <f t="shared" si="48"/>
        <v>0.29296195313304912</v>
      </c>
      <c r="G99" s="43">
        <f t="shared" si="64"/>
        <v>3.5190234334754322</v>
      </c>
      <c r="H99" s="44">
        <f t="shared" si="49"/>
        <v>292.96195313304912</v>
      </c>
      <c r="I99" s="36">
        <v>0.7</v>
      </c>
      <c r="J99" s="31">
        <f t="shared" si="65"/>
        <v>0.20507336719313438</v>
      </c>
      <c r="K99" s="30">
        <f t="shared" si="66"/>
        <v>3.9646263457247688</v>
      </c>
      <c r="L99" s="30">
        <f t="shared" si="71"/>
        <v>5.0400000000000007E-2</v>
      </c>
      <c r="M99" s="30">
        <f t="shared" si="67"/>
        <v>0.58074233884313575</v>
      </c>
      <c r="N99" s="30">
        <f t="shared" si="68"/>
        <v>8.6785475466450435E-2</v>
      </c>
      <c r="O99" s="45">
        <f t="shared" si="50"/>
        <v>3.0257782072050965</v>
      </c>
      <c r="P99" s="46">
        <f t="shared" si="69"/>
        <v>152.49922164313691</v>
      </c>
      <c r="Q99" s="47">
        <f t="shared" si="51"/>
        <v>1.2992216431369172</v>
      </c>
      <c r="R99" s="48">
        <v>300</v>
      </c>
      <c r="S99" s="36">
        <v>0.7</v>
      </c>
      <c r="T99" s="31">
        <f t="shared" si="52"/>
        <v>0.21</v>
      </c>
      <c r="U99" s="30">
        <f t="shared" si="53"/>
        <v>3.9646263457247688</v>
      </c>
      <c r="V99" s="30">
        <f t="shared" si="54"/>
        <v>5.2850682640324151E-2</v>
      </c>
      <c r="W99" s="30">
        <f t="shared" si="55"/>
        <v>0.59469395185871532</v>
      </c>
      <c r="X99" s="30">
        <f t="shared" si="56"/>
        <v>8.8870388668220696E-2</v>
      </c>
      <c r="Y99" s="45">
        <f t="shared" si="57"/>
        <v>3.0722173363819936</v>
      </c>
      <c r="Z99" s="46">
        <f t="shared" si="58"/>
        <v>162.36878344722672</v>
      </c>
      <c r="AA99" s="47">
        <f t="shared" si="70"/>
        <v>11.16878344722673</v>
      </c>
      <c r="AB99" s="49">
        <f t="shared" si="59"/>
        <v>7.3867615391711272E-2</v>
      </c>
      <c r="AC99" s="49">
        <f t="shared" si="60"/>
        <v>2.4072445460664449E-2</v>
      </c>
      <c r="AD99" s="49">
        <f t="shared" si="61"/>
        <v>4.8624655561986918E-2</v>
      </c>
      <c r="AE99" s="50">
        <f t="shared" si="62"/>
        <v>7.2697101022651367E-2</v>
      </c>
    </row>
    <row r="100" spans="2:31" ht="15.75" x14ac:dyDescent="0.25">
      <c r="B100" s="28">
        <v>40</v>
      </c>
      <c r="C100" s="29">
        <v>161.69999999999999</v>
      </c>
      <c r="D100" s="29">
        <v>3.2</v>
      </c>
      <c r="E100" s="43">
        <f t="shared" si="63"/>
        <v>5.0531249999999993E-2</v>
      </c>
      <c r="F100" s="43">
        <f t="shared" si="48"/>
        <v>0.29334316598544263</v>
      </c>
      <c r="G100" s="43">
        <f t="shared" si="64"/>
        <v>3.3284170072786781</v>
      </c>
      <c r="H100" s="44">
        <f t="shared" si="49"/>
        <v>293.34316598544262</v>
      </c>
      <c r="I100" s="36">
        <v>0.7</v>
      </c>
      <c r="J100" s="31">
        <f t="shared" si="65"/>
        <v>0.20534021618980983</v>
      </c>
      <c r="K100" s="30">
        <f t="shared" si="66"/>
        <v>3.9646263457247688</v>
      </c>
      <c r="L100" s="30">
        <f t="shared" si="71"/>
        <v>5.0531249999999986E-2</v>
      </c>
      <c r="M100" s="30">
        <f t="shared" si="67"/>
        <v>0.58149802210209989</v>
      </c>
      <c r="N100" s="30">
        <f t="shared" si="68"/>
        <v>8.6898403914308878E-2</v>
      </c>
      <c r="O100" s="45">
        <f t="shared" si="50"/>
        <v>3.2381081765396984</v>
      </c>
      <c r="P100" s="46">
        <f t="shared" si="69"/>
        <v>163.6256537957716</v>
      </c>
      <c r="Q100" s="47">
        <f t="shared" si="51"/>
        <v>1.9256537957716091</v>
      </c>
      <c r="R100" s="48">
        <v>300</v>
      </c>
      <c r="S100" s="36">
        <v>0.7</v>
      </c>
      <c r="T100" s="31">
        <f t="shared" si="52"/>
        <v>0.21</v>
      </c>
      <c r="U100" s="30">
        <f t="shared" si="53"/>
        <v>3.9646263457247688</v>
      </c>
      <c r="V100" s="30">
        <f t="shared" si="54"/>
        <v>5.2850682640324151E-2</v>
      </c>
      <c r="W100" s="30">
        <f t="shared" si="55"/>
        <v>0.59469395185871532</v>
      </c>
      <c r="X100" s="30">
        <f t="shared" si="56"/>
        <v>8.8870388668220696E-2</v>
      </c>
      <c r="Y100" s="45">
        <f t="shared" si="57"/>
        <v>3.2850529941904587</v>
      </c>
      <c r="Z100" s="46">
        <f t="shared" si="58"/>
        <v>173.61729325260654</v>
      </c>
      <c r="AA100" s="47">
        <f t="shared" si="70"/>
        <v>11.917293252606555</v>
      </c>
      <c r="AB100" s="49">
        <f t="shared" si="59"/>
        <v>7.3700020115068376E-2</v>
      </c>
      <c r="AC100" s="49">
        <f t="shared" si="60"/>
        <v>2.6579060684518208E-2</v>
      </c>
      <c r="AD100" s="49">
        <f t="shared" si="61"/>
        <v>4.5900955157930357E-2</v>
      </c>
      <c r="AE100" s="50">
        <f t="shared" si="62"/>
        <v>7.2480015842448564E-2</v>
      </c>
    </row>
    <row r="101" spans="2:31" ht="15.75" x14ac:dyDescent="0.25">
      <c r="B101" s="28">
        <v>45</v>
      </c>
      <c r="C101" s="29">
        <v>171.5</v>
      </c>
      <c r="D101" s="29">
        <v>3.4</v>
      </c>
      <c r="E101" s="43">
        <f t="shared" si="63"/>
        <v>5.0441176470588239E-2</v>
      </c>
      <c r="F101" s="43">
        <f t="shared" si="48"/>
        <v>0.29308160270027278</v>
      </c>
      <c r="G101" s="43">
        <f t="shared" si="64"/>
        <v>3.459198649863604</v>
      </c>
      <c r="H101" s="44">
        <f t="shared" si="49"/>
        <v>293.08160270027275</v>
      </c>
      <c r="I101" s="36">
        <v>0.7</v>
      </c>
      <c r="J101" s="31">
        <f t="shared" si="65"/>
        <v>0.20515712189019092</v>
      </c>
      <c r="K101" s="30">
        <f t="shared" si="66"/>
        <v>3.9646263457247688</v>
      </c>
      <c r="L101" s="30">
        <f t="shared" si="71"/>
        <v>5.0441176470588232E-2</v>
      </c>
      <c r="M101" s="30">
        <f t="shared" si="67"/>
        <v>0.58097952175637047</v>
      </c>
      <c r="N101" s="30">
        <f t="shared" si="68"/>
        <v>8.6820919811594274E-2</v>
      </c>
      <c r="O101" s="45">
        <f t="shared" si="50"/>
        <v>3.4331954120611052</v>
      </c>
      <c r="P101" s="46">
        <f t="shared" si="69"/>
        <v>173.17441563778809</v>
      </c>
      <c r="Q101" s="47">
        <f t="shared" si="51"/>
        <v>1.674415637788087</v>
      </c>
      <c r="R101" s="48">
        <v>300</v>
      </c>
      <c r="S101" s="36">
        <v>0.7</v>
      </c>
      <c r="T101" s="31">
        <f t="shared" si="52"/>
        <v>0.21</v>
      </c>
      <c r="U101" s="30">
        <f t="shared" si="53"/>
        <v>3.9646263457247688</v>
      </c>
      <c r="V101" s="30">
        <f t="shared" si="54"/>
        <v>5.2850682640324151E-2</v>
      </c>
      <c r="W101" s="30">
        <f t="shared" si="55"/>
        <v>0.59469395185871532</v>
      </c>
      <c r="X101" s="30">
        <f t="shared" si="56"/>
        <v>8.8870388668220696E-2</v>
      </c>
      <c r="Y101" s="45">
        <f t="shared" si="57"/>
        <v>3.4849535094685065</v>
      </c>
      <c r="Z101" s="46">
        <f t="shared" si="58"/>
        <v>184.18217194520392</v>
      </c>
      <c r="AA101" s="47">
        <f t="shared" si="70"/>
        <v>12.682171945203919</v>
      </c>
      <c r="AB101" s="49">
        <f t="shared" si="59"/>
        <v>7.3948524461830534E-2</v>
      </c>
      <c r="AC101" s="49">
        <f t="shared" si="60"/>
        <v>2.4986326314266671E-2</v>
      </c>
      <c r="AD101" s="49">
        <f t="shared" si="61"/>
        <v>4.7768635434997764E-2</v>
      </c>
      <c r="AE101" s="50">
        <f t="shared" si="62"/>
        <v>7.2754961749264435E-2</v>
      </c>
    </row>
    <row r="102" spans="2:31" ht="16.5" thickBot="1" x14ac:dyDescent="0.3">
      <c r="B102" s="52">
        <v>50</v>
      </c>
      <c r="C102" s="53">
        <v>180.8</v>
      </c>
      <c r="D102" s="53">
        <v>3.6</v>
      </c>
      <c r="E102" s="54">
        <f>C102/1000/D102</f>
        <v>5.0222222222222224E-2</v>
      </c>
      <c r="F102" s="54">
        <f>SQRT(E102*8/($G$64-SIN($G$64)))</f>
        <v>0.29244480894672292</v>
      </c>
      <c r="G102" s="54">
        <f t="shared" si="64"/>
        <v>3.777595526638533</v>
      </c>
      <c r="H102" s="55">
        <f>F102*1000</f>
        <v>292.4448089467229</v>
      </c>
      <c r="I102" s="56">
        <v>0.7</v>
      </c>
      <c r="J102" s="57">
        <f t="shared" si="65"/>
        <v>0.204711366262706</v>
      </c>
      <c r="K102" s="58">
        <f t="shared" si="66"/>
        <v>3.9646263457247684</v>
      </c>
      <c r="L102" s="58">
        <f>((0.001*H102)^2)*(K102-SIN(K102))/8</f>
        <v>5.0222222222222224E-2</v>
      </c>
      <c r="M102" s="58">
        <f t="shared" si="67"/>
        <v>0.57971719711031211</v>
      </c>
      <c r="N102" s="58">
        <f t="shared" si="68"/>
        <v>8.6632279450329364E-2</v>
      </c>
      <c r="O102" s="59">
        <f t="shared" si="50"/>
        <v>3.6144199489321367</v>
      </c>
      <c r="P102" s="60">
        <f t="shared" si="69"/>
        <v>181.52420187970287</v>
      </c>
      <c r="Q102" s="61">
        <f t="shared" si="51"/>
        <v>0.72420187970286065</v>
      </c>
      <c r="R102" s="62">
        <v>300</v>
      </c>
      <c r="S102" s="56">
        <v>0.7</v>
      </c>
      <c r="T102" s="57">
        <f t="shared" si="52"/>
        <v>0.21</v>
      </c>
      <c r="U102" s="58">
        <f t="shared" si="53"/>
        <v>3.9646263457247688</v>
      </c>
      <c r="V102" s="58">
        <f t="shared" si="54"/>
        <v>5.2850682640324151E-2</v>
      </c>
      <c r="W102" s="58">
        <f t="shared" si="55"/>
        <v>0.59469395185871532</v>
      </c>
      <c r="X102" s="58">
        <f t="shared" si="56"/>
        <v>8.8870388668220696E-2</v>
      </c>
      <c r="Y102" s="59">
        <f t="shared" si="57"/>
        <v>3.6740247870415637</v>
      </c>
      <c r="Z102" s="60">
        <f t="shared" si="58"/>
        <v>194.17471803261822</v>
      </c>
      <c r="AA102" s="61">
        <f t="shared" si="70"/>
        <v>13.374718032618205</v>
      </c>
      <c r="AB102" s="63">
        <f>Z102/C102-1</f>
        <v>7.3975210357401622E-2</v>
      </c>
      <c r="AC102" s="63">
        <f>Y102/D102-1</f>
        <v>2.0562440844878793E-2</v>
      </c>
      <c r="AD102" s="63">
        <f>V102/L102-1</f>
        <v>5.23366012453923E-2</v>
      </c>
      <c r="AE102" s="64">
        <f>AC102+AD102</f>
        <v>7.2899042090271093E-2</v>
      </c>
    </row>
    <row r="103" spans="2:31" ht="15.75" thickBot="1" x14ac:dyDescent="0.3"/>
    <row r="104" spans="2:31" ht="15.75" x14ac:dyDescent="0.25">
      <c r="B104" s="92" t="s">
        <v>86</v>
      </c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4"/>
    </row>
    <row r="105" spans="2:31" x14ac:dyDescent="0.25">
      <c r="C105" s="65"/>
      <c r="D105" s="65"/>
    </row>
    <row r="106" spans="2:31" ht="15.75" x14ac:dyDescent="0.25">
      <c r="B106" s="4"/>
      <c r="C106" s="2" t="s">
        <v>53</v>
      </c>
      <c r="D106" s="65"/>
    </row>
    <row r="107" spans="2:31" ht="15.75" thickBot="1" x14ac:dyDescent="0.3">
      <c r="C107" s="65"/>
      <c r="D107" s="65"/>
    </row>
    <row r="108" spans="2:31" ht="45.75" x14ac:dyDescent="0.25">
      <c r="B108" s="66" t="s">
        <v>57</v>
      </c>
      <c r="C108" s="67" t="s">
        <v>87</v>
      </c>
      <c r="D108" s="67" t="s">
        <v>88</v>
      </c>
      <c r="E108" s="67" t="s">
        <v>67</v>
      </c>
      <c r="F108" s="67" t="s">
        <v>68</v>
      </c>
      <c r="G108" s="68" t="s">
        <v>69</v>
      </c>
      <c r="H108" s="67" t="s">
        <v>70</v>
      </c>
      <c r="I108" s="69" t="s">
        <v>71</v>
      </c>
      <c r="J108" s="69" t="s">
        <v>72</v>
      </c>
      <c r="K108" s="67" t="s">
        <v>73</v>
      </c>
      <c r="L108" s="67" t="s">
        <v>74</v>
      </c>
      <c r="M108" s="70">
        <v>10</v>
      </c>
    </row>
    <row r="109" spans="2:31" ht="15.75" x14ac:dyDescent="0.25">
      <c r="B109" s="71">
        <v>5</v>
      </c>
      <c r="C109" s="72">
        <v>25</v>
      </c>
      <c r="D109" s="72">
        <f>C109-3</f>
        <v>22</v>
      </c>
      <c r="E109" s="36">
        <v>0.7</v>
      </c>
      <c r="F109" s="30">
        <f>D109*E109/1000</f>
        <v>1.5399999999999999E-2</v>
      </c>
      <c r="G109" s="30">
        <f>2*ACOS(1-2*(F109/(D109*0.001)))</f>
        <v>3.9646263457247688</v>
      </c>
      <c r="H109" s="30">
        <f>((0.001*D109)^2)*(G109-SIN(G109))/8</f>
        <v>2.8421922664352101E-4</v>
      </c>
      <c r="I109" s="30">
        <f>G109*0.001/2*D109</f>
        <v>4.3610889802972459E-2</v>
      </c>
      <c r="J109" s="30">
        <f>D109*0.001/4*(1 - SIN(G109)/G109)</f>
        <v>6.5171618356695176E-3</v>
      </c>
      <c r="K109" s="73">
        <f t="shared" ref="K109:K127" si="72">-2*SQRT(8*g*J109*B109*0.001)*LOG((k/(3.71*4*J109)+ 2.51*v/(4*J109*SQRT(8*g*J109*B109*0.001))))</f>
        <v>0.19128682917297804</v>
      </c>
      <c r="L109" s="46">
        <f>K109*H109*1000</f>
        <v>5.436739465463513E-2</v>
      </c>
      <c r="M109" s="74">
        <f>L109*(1 - $M$108/100)</f>
        <v>4.8930655189171619E-2</v>
      </c>
    </row>
    <row r="110" spans="2:31" ht="15.75" x14ac:dyDescent="0.25">
      <c r="B110" s="71">
        <v>7.5</v>
      </c>
      <c r="C110" s="72">
        <v>25</v>
      </c>
      <c r="D110" s="72">
        <f t="shared" ref="D110:D127" si="73">C110-3</f>
        <v>22</v>
      </c>
      <c r="E110" s="36">
        <v>0.7</v>
      </c>
      <c r="F110" s="30">
        <f t="shared" ref="F110:F127" si="74">D110*E110/1000</f>
        <v>1.5399999999999999E-2</v>
      </c>
      <c r="G110" s="30">
        <f t="shared" ref="G110:G127" si="75">2*ACOS(1-2*(F110/(D110*0.001)))</f>
        <v>3.9646263457247688</v>
      </c>
      <c r="H110" s="30">
        <f t="shared" ref="H110:H127" si="76">((0.001*D110)^2)*(G110-SIN(G110))/8</f>
        <v>2.8421922664352101E-4</v>
      </c>
      <c r="I110" s="30">
        <f t="shared" ref="I110:I127" si="77">G110*0.001/2*D110</f>
        <v>4.3610889802972459E-2</v>
      </c>
      <c r="J110" s="30">
        <f t="shared" ref="J110:J127" si="78">D110*0.001/4*(1 - SIN(G110)/G110)</f>
        <v>6.5171618356695176E-3</v>
      </c>
      <c r="K110" s="73">
        <f t="shared" si="72"/>
        <v>0.23623109425903466</v>
      </c>
      <c r="L110" s="46">
        <f t="shared" ref="L110:L127" si="79">K110*H110*1000</f>
        <v>6.7141418919455548E-2</v>
      </c>
      <c r="M110" s="74">
        <f t="shared" ref="M110:M127" si="80">L110*(1 - $M$108/100)</f>
        <v>6.0427277027509996E-2</v>
      </c>
    </row>
    <row r="111" spans="2:31" ht="15.75" x14ac:dyDescent="0.25">
      <c r="B111" s="75">
        <v>10</v>
      </c>
      <c r="C111" s="76">
        <v>25</v>
      </c>
      <c r="D111" s="72">
        <f t="shared" si="73"/>
        <v>22</v>
      </c>
      <c r="E111" s="77">
        <v>0.7</v>
      </c>
      <c r="F111" s="78">
        <f t="shared" si="74"/>
        <v>1.5399999999999999E-2</v>
      </c>
      <c r="G111" s="78">
        <f t="shared" si="75"/>
        <v>3.9646263457247688</v>
      </c>
      <c r="H111" s="78">
        <f t="shared" si="76"/>
        <v>2.8421922664352101E-4</v>
      </c>
      <c r="I111" s="78">
        <f t="shared" si="77"/>
        <v>4.3610889802972459E-2</v>
      </c>
      <c r="J111" s="78">
        <f t="shared" si="78"/>
        <v>6.5171618356695176E-3</v>
      </c>
      <c r="K111" s="79">
        <f t="shared" si="72"/>
        <v>0.27416090258345688</v>
      </c>
      <c r="L111" s="80">
        <f t="shared" si="79"/>
        <v>7.7921799708159822E-2</v>
      </c>
      <c r="M111" s="81">
        <f t="shared" si="80"/>
        <v>7.0129619737343843E-2</v>
      </c>
    </row>
    <row r="112" spans="2:31" ht="15.75" x14ac:dyDescent="0.25">
      <c r="B112" s="71">
        <v>12.5</v>
      </c>
      <c r="C112" s="72">
        <v>25</v>
      </c>
      <c r="D112" s="72">
        <f t="shared" si="73"/>
        <v>22</v>
      </c>
      <c r="E112" s="36">
        <v>0.7</v>
      </c>
      <c r="F112" s="30">
        <f t="shared" si="74"/>
        <v>1.5399999999999999E-2</v>
      </c>
      <c r="G112" s="30">
        <f t="shared" si="75"/>
        <v>3.9646263457247688</v>
      </c>
      <c r="H112" s="30">
        <f t="shared" si="76"/>
        <v>2.8421922664352101E-4</v>
      </c>
      <c r="I112" s="30">
        <f t="shared" si="77"/>
        <v>4.3610889802972459E-2</v>
      </c>
      <c r="J112" s="30">
        <f t="shared" si="78"/>
        <v>6.5171618356695176E-3</v>
      </c>
      <c r="K112" s="73">
        <f t="shared" si="72"/>
        <v>0.30759790491299893</v>
      </c>
      <c r="L112" s="46">
        <f t="shared" si="79"/>
        <v>8.7425238651539866E-2</v>
      </c>
      <c r="M112" s="74">
        <f t="shared" si="80"/>
        <v>7.8682714786385888E-2</v>
      </c>
    </row>
    <row r="113" spans="2:13" ht="15.75" x14ac:dyDescent="0.25">
      <c r="B113" s="75">
        <v>15</v>
      </c>
      <c r="C113" s="76">
        <v>25</v>
      </c>
      <c r="D113" s="72">
        <f t="shared" si="73"/>
        <v>22</v>
      </c>
      <c r="E113" s="77">
        <v>0.7</v>
      </c>
      <c r="F113" s="78">
        <f t="shared" si="74"/>
        <v>1.5399999999999999E-2</v>
      </c>
      <c r="G113" s="78">
        <f t="shared" si="75"/>
        <v>3.9646263457247688</v>
      </c>
      <c r="H113" s="78">
        <f t="shared" si="76"/>
        <v>2.8421922664352101E-4</v>
      </c>
      <c r="I113" s="78">
        <f t="shared" si="77"/>
        <v>4.3610889802972459E-2</v>
      </c>
      <c r="J113" s="78">
        <f t="shared" si="78"/>
        <v>6.5171618356695176E-3</v>
      </c>
      <c r="K113" s="79">
        <f t="shared" si="72"/>
        <v>0.33783915048754209</v>
      </c>
      <c r="L113" s="80">
        <f t="shared" si="79"/>
        <v>9.6020382081473329E-2</v>
      </c>
      <c r="M113" s="81">
        <f t="shared" si="80"/>
        <v>8.6418343873326003E-2</v>
      </c>
    </row>
    <row r="114" spans="2:13" ht="15.75" x14ac:dyDescent="0.25">
      <c r="B114" s="71">
        <v>17.5</v>
      </c>
      <c r="C114" s="72">
        <v>25</v>
      </c>
      <c r="D114" s="72">
        <f t="shared" si="73"/>
        <v>22</v>
      </c>
      <c r="E114" s="36">
        <v>0.7</v>
      </c>
      <c r="F114" s="30">
        <f t="shared" si="74"/>
        <v>1.5399999999999999E-2</v>
      </c>
      <c r="G114" s="30">
        <f t="shared" si="75"/>
        <v>3.9646263457247688</v>
      </c>
      <c r="H114" s="30">
        <f t="shared" si="76"/>
        <v>2.8421922664352101E-4</v>
      </c>
      <c r="I114" s="30">
        <f t="shared" si="77"/>
        <v>4.3610889802972459E-2</v>
      </c>
      <c r="J114" s="30">
        <f t="shared" si="78"/>
        <v>6.5171618356695176E-3</v>
      </c>
      <c r="K114" s="73">
        <f t="shared" si="72"/>
        <v>0.36565656005438846</v>
      </c>
      <c r="L114" s="46">
        <f t="shared" si="79"/>
        <v>0.10392662471578848</v>
      </c>
      <c r="M114" s="74">
        <f t="shared" si="80"/>
        <v>9.3533962244209637E-2</v>
      </c>
    </row>
    <row r="115" spans="2:13" ht="15.75" x14ac:dyDescent="0.25">
      <c r="B115" s="75">
        <v>20</v>
      </c>
      <c r="C115" s="76">
        <v>25</v>
      </c>
      <c r="D115" s="72">
        <f t="shared" si="73"/>
        <v>22</v>
      </c>
      <c r="E115" s="77">
        <v>0.7</v>
      </c>
      <c r="F115" s="78">
        <f t="shared" si="74"/>
        <v>1.5399999999999999E-2</v>
      </c>
      <c r="G115" s="78">
        <f t="shared" si="75"/>
        <v>3.9646263457247688</v>
      </c>
      <c r="H115" s="78">
        <f t="shared" si="76"/>
        <v>2.8421922664352101E-4</v>
      </c>
      <c r="I115" s="78">
        <f t="shared" si="77"/>
        <v>4.3610889802972459E-2</v>
      </c>
      <c r="J115" s="78">
        <f t="shared" si="78"/>
        <v>6.5171618356695176E-3</v>
      </c>
      <c r="K115" s="79">
        <f t="shared" si="72"/>
        <v>0.39155372338158051</v>
      </c>
      <c r="L115" s="80">
        <f t="shared" si="79"/>
        <v>0.11128709644890397</v>
      </c>
      <c r="M115" s="81">
        <f t="shared" si="80"/>
        <v>0.10015838680401358</v>
      </c>
    </row>
    <row r="116" spans="2:13" ht="15.75" x14ac:dyDescent="0.25">
      <c r="B116" s="71">
        <v>22.5</v>
      </c>
      <c r="C116" s="72">
        <v>25</v>
      </c>
      <c r="D116" s="72">
        <f t="shared" si="73"/>
        <v>22</v>
      </c>
      <c r="E116" s="36">
        <v>0.7</v>
      </c>
      <c r="F116" s="30">
        <f t="shared" si="74"/>
        <v>1.5399999999999999E-2</v>
      </c>
      <c r="G116" s="30">
        <f t="shared" si="75"/>
        <v>3.9646263457247688</v>
      </c>
      <c r="H116" s="30">
        <f t="shared" si="76"/>
        <v>2.8421922664352101E-4</v>
      </c>
      <c r="I116" s="30">
        <f t="shared" si="77"/>
        <v>4.3610889802972459E-2</v>
      </c>
      <c r="J116" s="30">
        <f t="shared" si="78"/>
        <v>6.5171618356695176E-3</v>
      </c>
      <c r="K116" s="73">
        <f t="shared" si="72"/>
        <v>0.41588076473623015</v>
      </c>
      <c r="L116" s="46">
        <f t="shared" si="79"/>
        <v>0.11820130932924744</v>
      </c>
      <c r="M116" s="74">
        <f t="shared" si="80"/>
        <v>0.1063811783963227</v>
      </c>
    </row>
    <row r="117" spans="2:13" ht="15.75" x14ac:dyDescent="0.25">
      <c r="B117" s="75">
        <v>25</v>
      </c>
      <c r="C117" s="76">
        <v>25</v>
      </c>
      <c r="D117" s="72">
        <f t="shared" si="73"/>
        <v>22</v>
      </c>
      <c r="E117" s="77">
        <v>0.7</v>
      </c>
      <c r="F117" s="78">
        <f t="shared" si="74"/>
        <v>1.5399999999999999E-2</v>
      </c>
      <c r="G117" s="78">
        <f t="shared" si="75"/>
        <v>3.9646263457247688</v>
      </c>
      <c r="H117" s="78">
        <f t="shared" si="76"/>
        <v>2.8421922664352101E-4</v>
      </c>
      <c r="I117" s="78">
        <f t="shared" si="77"/>
        <v>4.3610889802972459E-2</v>
      </c>
      <c r="J117" s="78">
        <f t="shared" si="78"/>
        <v>6.5171618356695176E-3</v>
      </c>
      <c r="K117" s="79">
        <f t="shared" si="72"/>
        <v>0.43889279308704882</v>
      </c>
      <c r="L117" s="80">
        <f t="shared" si="79"/>
        <v>0.1247417702306159</v>
      </c>
      <c r="M117" s="81">
        <f t="shared" si="80"/>
        <v>0.11226759320755432</v>
      </c>
    </row>
    <row r="118" spans="2:13" ht="15.75" x14ac:dyDescent="0.25">
      <c r="B118" s="71">
        <v>27.5</v>
      </c>
      <c r="C118" s="72">
        <v>25</v>
      </c>
      <c r="D118" s="72">
        <f t="shared" si="73"/>
        <v>22</v>
      </c>
      <c r="E118" s="36">
        <v>0.7</v>
      </c>
      <c r="F118" s="30">
        <f t="shared" si="74"/>
        <v>1.5399999999999999E-2</v>
      </c>
      <c r="G118" s="30">
        <f t="shared" si="75"/>
        <v>3.9646263457247688</v>
      </c>
      <c r="H118" s="30">
        <f t="shared" si="76"/>
        <v>2.8421922664352101E-4</v>
      </c>
      <c r="I118" s="30">
        <f t="shared" si="77"/>
        <v>4.3610889802972459E-2</v>
      </c>
      <c r="J118" s="30">
        <f t="shared" si="78"/>
        <v>6.5171618356695176E-3</v>
      </c>
      <c r="K118" s="73">
        <f t="shared" si="72"/>
        <v>0.46078250698712286</v>
      </c>
      <c r="L118" s="46">
        <f t="shared" si="79"/>
        <v>0.13096324778674287</v>
      </c>
      <c r="M118" s="74">
        <f t="shared" si="80"/>
        <v>0.11786692300806859</v>
      </c>
    </row>
    <row r="119" spans="2:13" ht="15.75" x14ac:dyDescent="0.25">
      <c r="B119" s="75">
        <v>30</v>
      </c>
      <c r="C119" s="76">
        <v>25</v>
      </c>
      <c r="D119" s="72">
        <f t="shared" si="73"/>
        <v>22</v>
      </c>
      <c r="E119" s="77">
        <v>0.7</v>
      </c>
      <c r="F119" s="78">
        <f t="shared" si="74"/>
        <v>1.5399999999999999E-2</v>
      </c>
      <c r="G119" s="78">
        <f t="shared" si="75"/>
        <v>3.9646263457247688</v>
      </c>
      <c r="H119" s="78">
        <f t="shared" si="76"/>
        <v>2.8421922664352101E-4</v>
      </c>
      <c r="I119" s="78">
        <f t="shared" si="77"/>
        <v>4.3610889802972459E-2</v>
      </c>
      <c r="J119" s="78">
        <f t="shared" si="78"/>
        <v>6.5171618356695176E-3</v>
      </c>
      <c r="K119" s="79">
        <f t="shared" si="72"/>
        <v>0.4816996851749008</v>
      </c>
      <c r="L119" s="80">
        <f t="shared" si="79"/>
        <v>0.13690831199483786</v>
      </c>
      <c r="M119" s="81">
        <f t="shared" si="80"/>
        <v>0.12321748079535408</v>
      </c>
    </row>
    <row r="120" spans="2:13" ht="15.75" x14ac:dyDescent="0.25">
      <c r="B120" s="71">
        <v>32.5</v>
      </c>
      <c r="C120" s="72">
        <v>25</v>
      </c>
      <c r="D120" s="72">
        <f t="shared" si="73"/>
        <v>22</v>
      </c>
      <c r="E120" s="36">
        <v>0.7</v>
      </c>
      <c r="F120" s="30">
        <f t="shared" si="74"/>
        <v>1.5399999999999999E-2</v>
      </c>
      <c r="G120" s="30">
        <f t="shared" si="75"/>
        <v>3.9646263457247688</v>
      </c>
      <c r="H120" s="30">
        <f t="shared" si="76"/>
        <v>2.8421922664352101E-4</v>
      </c>
      <c r="I120" s="30">
        <f t="shared" si="77"/>
        <v>4.3610889802972459E-2</v>
      </c>
      <c r="J120" s="30">
        <f t="shared" si="78"/>
        <v>6.5171618356695176E-3</v>
      </c>
      <c r="K120" s="73">
        <f t="shared" si="72"/>
        <v>0.50176348601956</v>
      </c>
      <c r="L120" s="46">
        <f t="shared" si="79"/>
        <v>0.1426108299544365</v>
      </c>
      <c r="M120" s="74">
        <f t="shared" si="80"/>
        <v>0.12834974695899284</v>
      </c>
    </row>
    <row r="121" spans="2:13" ht="15.75" x14ac:dyDescent="0.25">
      <c r="B121" s="75">
        <v>35</v>
      </c>
      <c r="C121" s="76">
        <v>25</v>
      </c>
      <c r="D121" s="72">
        <f t="shared" si="73"/>
        <v>22</v>
      </c>
      <c r="E121" s="77">
        <v>0.7</v>
      </c>
      <c r="F121" s="78">
        <f t="shared" si="74"/>
        <v>1.5399999999999999E-2</v>
      </c>
      <c r="G121" s="78">
        <f t="shared" si="75"/>
        <v>3.9646263457247688</v>
      </c>
      <c r="H121" s="78">
        <f t="shared" si="76"/>
        <v>2.8421922664352101E-4</v>
      </c>
      <c r="I121" s="78">
        <f t="shared" si="77"/>
        <v>4.3610889802972459E-2</v>
      </c>
      <c r="J121" s="78">
        <f t="shared" si="78"/>
        <v>6.5171618356695176E-3</v>
      </c>
      <c r="K121" s="79">
        <f t="shared" si="72"/>
        <v>0.52107055511670219</v>
      </c>
      <c r="L121" s="80">
        <f t="shared" si="79"/>
        <v>0.1480982702019793</v>
      </c>
      <c r="M121" s="81">
        <f t="shared" si="80"/>
        <v>0.13328844318178137</v>
      </c>
    </row>
    <row r="122" spans="2:13" ht="15.75" x14ac:dyDescent="0.25">
      <c r="B122" s="71">
        <v>37.5</v>
      </c>
      <c r="C122" s="72">
        <v>25</v>
      </c>
      <c r="D122" s="72">
        <f t="shared" si="73"/>
        <v>22</v>
      </c>
      <c r="E122" s="36">
        <v>0.7</v>
      </c>
      <c r="F122" s="30">
        <f t="shared" si="74"/>
        <v>1.5399999999999999E-2</v>
      </c>
      <c r="G122" s="30">
        <f t="shared" si="75"/>
        <v>3.9646263457247688</v>
      </c>
      <c r="H122" s="30">
        <f t="shared" si="76"/>
        <v>2.8421922664352101E-4</v>
      </c>
      <c r="I122" s="30">
        <f t="shared" si="77"/>
        <v>4.3610889802972459E-2</v>
      </c>
      <c r="J122" s="30">
        <f t="shared" si="78"/>
        <v>6.5171618356695176E-3</v>
      </c>
      <c r="K122" s="73">
        <f t="shared" si="72"/>
        <v>0.53970056527094845</v>
      </c>
      <c r="L122" s="46">
        <f t="shared" si="79"/>
        <v>0.1533932772803801</v>
      </c>
      <c r="M122" s="74">
        <f t="shared" si="80"/>
        <v>0.1380539495523421</v>
      </c>
    </row>
    <row r="123" spans="2:13" ht="15.75" x14ac:dyDescent="0.25">
      <c r="B123" s="75">
        <v>40</v>
      </c>
      <c r="C123" s="76">
        <v>25</v>
      </c>
      <c r="D123" s="72">
        <f t="shared" si="73"/>
        <v>22</v>
      </c>
      <c r="E123" s="77">
        <v>0.7</v>
      </c>
      <c r="F123" s="78">
        <f t="shared" si="74"/>
        <v>1.5399999999999999E-2</v>
      </c>
      <c r="G123" s="78">
        <f t="shared" si="75"/>
        <v>3.9646263457247688</v>
      </c>
      <c r="H123" s="78">
        <f t="shared" si="76"/>
        <v>2.8421922664352101E-4</v>
      </c>
      <c r="I123" s="78">
        <f t="shared" si="77"/>
        <v>4.3610889802972459E-2</v>
      </c>
      <c r="J123" s="78">
        <f t="shared" si="78"/>
        <v>6.5171618356695176E-3</v>
      </c>
      <c r="K123" s="79">
        <f t="shared" si="72"/>
        <v>0.55772011788676401</v>
      </c>
      <c r="L123" s="80">
        <f t="shared" si="79"/>
        <v>0.15851478058930943</v>
      </c>
      <c r="M123" s="81">
        <f t="shared" si="80"/>
        <v>0.14266330253037848</v>
      </c>
    </row>
    <row r="124" spans="2:13" ht="15.75" x14ac:dyDescent="0.25">
      <c r="B124" s="71">
        <v>42.5</v>
      </c>
      <c r="C124" s="72">
        <v>25</v>
      </c>
      <c r="D124" s="72">
        <f t="shared" si="73"/>
        <v>22</v>
      </c>
      <c r="E124" s="36">
        <v>0.7</v>
      </c>
      <c r="F124" s="30">
        <f t="shared" si="74"/>
        <v>1.5399999999999999E-2</v>
      </c>
      <c r="G124" s="30">
        <f t="shared" si="75"/>
        <v>3.9646263457247688</v>
      </c>
      <c r="H124" s="30">
        <f t="shared" si="76"/>
        <v>2.8421922664352101E-4</v>
      </c>
      <c r="I124" s="30">
        <f t="shared" si="77"/>
        <v>4.3610889802972459E-2</v>
      </c>
      <c r="J124" s="30">
        <f t="shared" si="78"/>
        <v>6.5171618356695176E-3</v>
      </c>
      <c r="K124" s="73">
        <f t="shared" si="72"/>
        <v>0.57518556186810055</v>
      </c>
      <c r="L124" s="46">
        <f t="shared" si="79"/>
        <v>0.16347879557067063</v>
      </c>
      <c r="M124" s="74">
        <f t="shared" si="80"/>
        <v>0.14713091601360356</v>
      </c>
    </row>
    <row r="125" spans="2:13" ht="15.75" x14ac:dyDescent="0.25">
      <c r="B125" s="75">
        <v>45</v>
      </c>
      <c r="C125" s="76">
        <v>25</v>
      </c>
      <c r="D125" s="72">
        <f t="shared" si="73"/>
        <v>22</v>
      </c>
      <c r="E125" s="77">
        <v>0.7</v>
      </c>
      <c r="F125" s="78">
        <f t="shared" si="74"/>
        <v>1.5399999999999999E-2</v>
      </c>
      <c r="G125" s="78">
        <f t="shared" si="75"/>
        <v>3.9646263457247688</v>
      </c>
      <c r="H125" s="78">
        <f t="shared" si="76"/>
        <v>2.8421922664352101E-4</v>
      </c>
      <c r="I125" s="78">
        <f t="shared" si="77"/>
        <v>4.3610889802972459E-2</v>
      </c>
      <c r="J125" s="78">
        <f t="shared" si="78"/>
        <v>6.5171618356695176E-3</v>
      </c>
      <c r="K125" s="79">
        <f t="shared" si="72"/>
        <v>0.59214507595611743</v>
      </c>
      <c r="L125" s="80">
        <f t="shared" si="79"/>
        <v>0.16829901554901669</v>
      </c>
      <c r="M125" s="81">
        <f t="shared" si="80"/>
        <v>0.15146911399411503</v>
      </c>
    </row>
    <row r="126" spans="2:13" ht="15.75" x14ac:dyDescent="0.25">
      <c r="B126" s="71">
        <v>47.5</v>
      </c>
      <c r="C126" s="72">
        <v>25</v>
      </c>
      <c r="D126" s="72">
        <f t="shared" si="73"/>
        <v>22</v>
      </c>
      <c r="E126" s="36">
        <v>0.7</v>
      </c>
      <c r="F126" s="30">
        <f t="shared" si="74"/>
        <v>1.5399999999999999E-2</v>
      </c>
      <c r="G126" s="30">
        <f t="shared" si="75"/>
        <v>3.9646263457247688</v>
      </c>
      <c r="H126" s="30">
        <f t="shared" si="76"/>
        <v>2.8421922664352101E-4</v>
      </c>
      <c r="I126" s="30">
        <f t="shared" si="77"/>
        <v>4.3610889802972459E-2</v>
      </c>
      <c r="J126" s="30">
        <f t="shared" si="78"/>
        <v>6.5171618356695176E-3</v>
      </c>
      <c r="K126" s="73">
        <f t="shared" si="72"/>
        <v>0.60864023691239189</v>
      </c>
      <c r="L126" s="46">
        <f t="shared" si="79"/>
        <v>0.17298725743936944</v>
      </c>
      <c r="M126" s="74">
        <f t="shared" si="80"/>
        <v>0.15568853169543251</v>
      </c>
    </row>
    <row r="127" spans="2:13" ht="16.5" thickBot="1" x14ac:dyDescent="0.3">
      <c r="B127" s="82">
        <v>50</v>
      </c>
      <c r="C127" s="83">
        <v>25</v>
      </c>
      <c r="D127" s="84">
        <f t="shared" si="73"/>
        <v>22</v>
      </c>
      <c r="E127" s="85">
        <v>0.7</v>
      </c>
      <c r="F127" s="86">
        <f t="shared" si="74"/>
        <v>1.5399999999999999E-2</v>
      </c>
      <c r="G127" s="86">
        <f t="shared" si="75"/>
        <v>3.9646263457247688</v>
      </c>
      <c r="H127" s="86">
        <f t="shared" si="76"/>
        <v>2.8421922664352101E-4</v>
      </c>
      <c r="I127" s="86">
        <f t="shared" si="77"/>
        <v>4.3610889802972459E-2</v>
      </c>
      <c r="J127" s="86">
        <f t="shared" si="78"/>
        <v>6.5171618356695176E-3</v>
      </c>
      <c r="K127" s="87">
        <f t="shared" si="72"/>
        <v>0.6247072206918648</v>
      </c>
      <c r="L127" s="88">
        <f t="shared" si="79"/>
        <v>0.1775538031436652</v>
      </c>
      <c r="M127" s="89">
        <f t="shared" si="80"/>
        <v>0.15979842282929868</v>
      </c>
    </row>
  </sheetData>
  <mergeCells count="4">
    <mergeCell ref="B63:D63"/>
    <mergeCell ref="E63:Q63"/>
    <mergeCell ref="R63:AE63"/>
    <mergeCell ref="B104:N104"/>
  </mergeCells>
  <conditionalFormatting sqref="B63">
    <cfRule type="expression" dxfId="93" priority="94">
      <formula>LEFT($A63,LEN("["))="["</formula>
    </cfRule>
  </conditionalFormatting>
  <conditionalFormatting sqref="B63">
    <cfRule type="expression" dxfId="92" priority="93">
      <formula>LEFT($A63,LEN(";"))=";"</formula>
    </cfRule>
  </conditionalFormatting>
  <conditionalFormatting sqref="B64:D77 E65:E66 F65:H65">
    <cfRule type="expression" dxfId="91" priority="92">
      <formula>LEFT($A64,LEN("["))="["</formula>
    </cfRule>
  </conditionalFormatting>
  <conditionalFormatting sqref="B64:D77 E65:E66 F65:H65">
    <cfRule type="expression" dxfId="90" priority="91">
      <formula>LEFT($A64,LEN(";"))=";"</formula>
    </cfRule>
  </conditionalFormatting>
  <conditionalFormatting sqref="C90:D102 C107:D108 D106">
    <cfRule type="expression" dxfId="89" priority="90">
      <formula>LEFT($A78,LEN("["))="["</formula>
    </cfRule>
  </conditionalFormatting>
  <conditionalFormatting sqref="C90:D102 C107:D108 D106">
    <cfRule type="expression" dxfId="88" priority="89">
      <formula>LEFT($A78,LEN(";"))=";"</formula>
    </cfRule>
  </conditionalFormatting>
  <conditionalFormatting sqref="B93:B102">
    <cfRule type="expression" dxfId="87" priority="88">
      <formula>LEFT($A81,LEN("["))="["</formula>
    </cfRule>
  </conditionalFormatting>
  <conditionalFormatting sqref="B93:B102">
    <cfRule type="expression" dxfId="86" priority="87">
      <formula>LEFT($A81,LEN(";"))=";"</formula>
    </cfRule>
  </conditionalFormatting>
  <conditionalFormatting sqref="I65:J65">
    <cfRule type="expression" dxfId="85" priority="86">
      <formula>LEFT($A66,LEN("["))="["</formula>
    </cfRule>
  </conditionalFormatting>
  <conditionalFormatting sqref="I65:J65">
    <cfRule type="expression" dxfId="84" priority="85">
      <formula>LEFT($A66,LEN(";"))=";"</formula>
    </cfRule>
  </conditionalFormatting>
  <conditionalFormatting sqref="L65">
    <cfRule type="expression" dxfId="83" priority="84">
      <formula>LEFT($A66,LEN("["))="["</formula>
    </cfRule>
  </conditionalFormatting>
  <conditionalFormatting sqref="L65">
    <cfRule type="expression" dxfId="82" priority="83">
      <formula>LEFT($A66,LEN(";"))=";"</formula>
    </cfRule>
  </conditionalFormatting>
  <conditionalFormatting sqref="I67">
    <cfRule type="expression" dxfId="81" priority="82">
      <formula>LEFT($A67,LEN("["))="["</formula>
    </cfRule>
  </conditionalFormatting>
  <conditionalFormatting sqref="I67">
    <cfRule type="expression" dxfId="80" priority="81">
      <formula>LEFT($A67,LEN(";"))=";"</formula>
    </cfRule>
  </conditionalFormatting>
  <conditionalFormatting sqref="O65:P65">
    <cfRule type="expression" dxfId="79" priority="80">
      <formula>LEFT($A66,LEN("["))="["</formula>
    </cfRule>
  </conditionalFormatting>
  <conditionalFormatting sqref="O65:P65">
    <cfRule type="expression" dxfId="78" priority="79">
      <formula>LEFT($A66,LEN(";"))=";"</formula>
    </cfRule>
  </conditionalFormatting>
  <conditionalFormatting sqref="I68:I77">
    <cfRule type="expression" dxfId="77" priority="78">
      <formula>LEFT($A68,LEN("["))="["</formula>
    </cfRule>
  </conditionalFormatting>
  <conditionalFormatting sqref="I68:I77">
    <cfRule type="expression" dxfId="76" priority="77">
      <formula>LEFT($A68,LEN(";"))=";"</formula>
    </cfRule>
  </conditionalFormatting>
  <conditionalFormatting sqref="I93">
    <cfRule type="expression" dxfId="75" priority="76">
      <formula>LEFT($A81,LEN("["))="["</formula>
    </cfRule>
  </conditionalFormatting>
  <conditionalFormatting sqref="I93">
    <cfRule type="expression" dxfId="74" priority="75">
      <formula>LEFT($A81,LEN(";"))=";"</formula>
    </cfRule>
  </conditionalFormatting>
  <conditionalFormatting sqref="I94:I102">
    <cfRule type="expression" dxfId="73" priority="74">
      <formula>LEFT($A82,LEN("["))="["</formula>
    </cfRule>
  </conditionalFormatting>
  <conditionalFormatting sqref="I94:I102">
    <cfRule type="expression" dxfId="72" priority="73">
      <formula>LEFT($A82,LEN(";"))=";"</formula>
    </cfRule>
  </conditionalFormatting>
  <conditionalFormatting sqref="Q67">
    <cfRule type="cellIs" dxfId="71" priority="71" stopIfTrue="1" operator="lessThan">
      <formula>0</formula>
    </cfRule>
    <cfRule type="cellIs" dxfId="70" priority="72" stopIfTrue="1" operator="greaterThan">
      <formula>0</formula>
    </cfRule>
  </conditionalFormatting>
  <conditionalFormatting sqref="R65">
    <cfRule type="expression" dxfId="69" priority="70">
      <formula>LEFT($A65,LEN("["))="["</formula>
    </cfRule>
  </conditionalFormatting>
  <conditionalFormatting sqref="R65">
    <cfRule type="expression" dxfId="68" priority="69">
      <formula>LEFT($A65,LEN(";"))=";"</formula>
    </cfRule>
  </conditionalFormatting>
  <conditionalFormatting sqref="S65:T65">
    <cfRule type="expression" dxfId="67" priority="68">
      <formula>LEFT($A66,LEN("["))="["</formula>
    </cfRule>
  </conditionalFormatting>
  <conditionalFormatting sqref="S65:T65">
    <cfRule type="expression" dxfId="66" priority="67">
      <formula>LEFT($A66,LEN(";"))=";"</formula>
    </cfRule>
  </conditionalFormatting>
  <conditionalFormatting sqref="V65">
    <cfRule type="expression" dxfId="65" priority="66">
      <formula>LEFT($A66,LEN("["))="["</formula>
    </cfRule>
  </conditionalFormatting>
  <conditionalFormatting sqref="V65">
    <cfRule type="expression" dxfId="64" priority="65">
      <formula>LEFT($A66,LEN(";"))=";"</formula>
    </cfRule>
  </conditionalFormatting>
  <conditionalFormatting sqref="S67">
    <cfRule type="expression" dxfId="63" priority="64">
      <formula>LEFT($A67,LEN("["))="["</formula>
    </cfRule>
  </conditionalFormatting>
  <conditionalFormatting sqref="S67">
    <cfRule type="expression" dxfId="62" priority="63">
      <formula>LEFT($A67,LEN(";"))=";"</formula>
    </cfRule>
  </conditionalFormatting>
  <conditionalFormatting sqref="Y65:Z65">
    <cfRule type="expression" dxfId="61" priority="62">
      <formula>LEFT($A66,LEN("["))="["</formula>
    </cfRule>
  </conditionalFormatting>
  <conditionalFormatting sqref="Y65:Z65">
    <cfRule type="expression" dxfId="60" priority="61">
      <formula>LEFT($A66,LEN(";"))=";"</formula>
    </cfRule>
  </conditionalFormatting>
  <conditionalFormatting sqref="S68:S77">
    <cfRule type="expression" dxfId="59" priority="60">
      <formula>LEFT($A68,LEN("["))="["</formula>
    </cfRule>
  </conditionalFormatting>
  <conditionalFormatting sqref="S68:S77">
    <cfRule type="expression" dxfId="58" priority="59">
      <formula>LEFT($A68,LEN(";"))=";"</formula>
    </cfRule>
  </conditionalFormatting>
  <conditionalFormatting sqref="AA67">
    <cfRule type="cellIs" dxfId="57" priority="57" stopIfTrue="1" operator="lessThan">
      <formula>0</formula>
    </cfRule>
    <cfRule type="cellIs" dxfId="56" priority="58" stopIfTrue="1" operator="greaterThan">
      <formula>0</formula>
    </cfRule>
  </conditionalFormatting>
  <conditionalFormatting sqref="Q68:Q77">
    <cfRule type="cellIs" dxfId="55" priority="55" stopIfTrue="1" operator="lessThan">
      <formula>0</formula>
    </cfRule>
    <cfRule type="cellIs" dxfId="54" priority="56" stopIfTrue="1" operator="greaterThan">
      <formula>0</formula>
    </cfRule>
  </conditionalFormatting>
  <conditionalFormatting sqref="Q93:Q102">
    <cfRule type="cellIs" dxfId="53" priority="53" stopIfTrue="1" operator="lessThan">
      <formula>0</formula>
    </cfRule>
    <cfRule type="cellIs" dxfId="52" priority="54" stopIfTrue="1" operator="greaterThan">
      <formula>0</formula>
    </cfRule>
  </conditionalFormatting>
  <conditionalFormatting sqref="AA68:AA77">
    <cfRule type="cellIs" dxfId="51" priority="51" stopIfTrue="1" operator="lessThan">
      <formula>0</formula>
    </cfRule>
    <cfRule type="cellIs" dxfId="50" priority="52" stopIfTrue="1" operator="greaterThan">
      <formula>0</formula>
    </cfRule>
  </conditionalFormatting>
  <conditionalFormatting sqref="S93:S102">
    <cfRule type="expression" dxfId="49" priority="50">
      <formula>LEFT($A81,LEN("["))="["</formula>
    </cfRule>
  </conditionalFormatting>
  <conditionalFormatting sqref="S93:S102">
    <cfRule type="expression" dxfId="48" priority="49">
      <formula>LEFT($A81,LEN(";"))=";"</formula>
    </cfRule>
  </conditionalFormatting>
  <conditionalFormatting sqref="AA93:AA102">
    <cfRule type="cellIs" dxfId="47" priority="47" stopIfTrue="1" operator="lessThan">
      <formula>0</formula>
    </cfRule>
    <cfRule type="cellIs" dxfId="46" priority="48" stopIfTrue="1" operator="greaterThan">
      <formula>0</formula>
    </cfRule>
  </conditionalFormatting>
  <conditionalFormatting sqref="B108">
    <cfRule type="expression" dxfId="45" priority="46">
      <formula>LEFT($A93,LEN("["))="["</formula>
    </cfRule>
  </conditionalFormatting>
  <conditionalFormatting sqref="B108">
    <cfRule type="expression" dxfId="44" priority="45">
      <formula>LEFT($A93,LEN(";"))=";"</formula>
    </cfRule>
  </conditionalFormatting>
  <conditionalFormatting sqref="C105:D105">
    <cfRule type="expression" dxfId="43" priority="44">
      <formula>LEFT($A93,LEN("["))="["</formula>
    </cfRule>
  </conditionalFormatting>
  <conditionalFormatting sqref="C105:D105">
    <cfRule type="expression" dxfId="42" priority="43">
      <formula>LEFT($A93,LEN(";"))=";"</formula>
    </cfRule>
  </conditionalFormatting>
  <conditionalFormatting sqref="E108:F108">
    <cfRule type="expression" dxfId="41" priority="42">
      <formula>LEFT($A97,LEN("["))="["</formula>
    </cfRule>
  </conditionalFormatting>
  <conditionalFormatting sqref="E108:F108">
    <cfRule type="expression" dxfId="40" priority="41">
      <formula>LEFT($A97,LEN(";"))=";"</formula>
    </cfRule>
  </conditionalFormatting>
  <conditionalFormatting sqref="H108">
    <cfRule type="expression" dxfId="39" priority="40">
      <formula>LEFT($A97,LEN("["))="["</formula>
    </cfRule>
  </conditionalFormatting>
  <conditionalFormatting sqref="H108">
    <cfRule type="expression" dxfId="38" priority="39">
      <formula>LEFT($A97,LEN(";"))=";"</formula>
    </cfRule>
  </conditionalFormatting>
  <conditionalFormatting sqref="E109">
    <cfRule type="expression" dxfId="37" priority="38">
      <formula>LEFT($A98,LEN("["))="["</formula>
    </cfRule>
  </conditionalFormatting>
  <conditionalFormatting sqref="E109">
    <cfRule type="expression" dxfId="36" priority="37">
      <formula>LEFT($A98,LEN(";"))=";"</formula>
    </cfRule>
  </conditionalFormatting>
  <conditionalFormatting sqref="K108:L108">
    <cfRule type="expression" dxfId="35" priority="36">
      <formula>LEFT($A97,LEN("["))="["</formula>
    </cfRule>
  </conditionalFormatting>
  <conditionalFormatting sqref="K108:L108">
    <cfRule type="expression" dxfId="34" priority="35">
      <formula>LEFT($A97,LEN(";"))=";"</formula>
    </cfRule>
  </conditionalFormatting>
  <conditionalFormatting sqref="E110:E127">
    <cfRule type="expression" dxfId="33" priority="34">
      <formula>LEFT($A99,LEN("["))="["</formula>
    </cfRule>
  </conditionalFormatting>
  <conditionalFormatting sqref="E110:E127">
    <cfRule type="expression" dxfId="32" priority="33">
      <formula>LEFT($A99,LEN(";"))=";"</formula>
    </cfRule>
  </conditionalFormatting>
  <conditionalFormatting sqref="B78:D89 E78:E79 F78:H78">
    <cfRule type="expression" dxfId="31" priority="32">
      <formula>LEFT($A78,LEN("["))="["</formula>
    </cfRule>
  </conditionalFormatting>
  <conditionalFormatting sqref="B78:D89 E78:E79 F78:H78">
    <cfRule type="expression" dxfId="30" priority="31">
      <formula>LEFT($A78,LEN(";"))=";"</formula>
    </cfRule>
  </conditionalFormatting>
  <conditionalFormatting sqref="I78:J78">
    <cfRule type="expression" dxfId="29" priority="30">
      <formula>LEFT($A79,LEN("["))="["</formula>
    </cfRule>
  </conditionalFormatting>
  <conditionalFormatting sqref="I78:J78">
    <cfRule type="expression" dxfId="28" priority="29">
      <formula>LEFT($A79,LEN(";"))=";"</formula>
    </cfRule>
  </conditionalFormatting>
  <conditionalFormatting sqref="L78">
    <cfRule type="expression" dxfId="27" priority="28">
      <formula>LEFT($A79,LEN("["))="["</formula>
    </cfRule>
  </conditionalFormatting>
  <conditionalFormatting sqref="L78">
    <cfRule type="expression" dxfId="26" priority="27">
      <formula>LEFT($A79,LEN(";"))=";"</formula>
    </cfRule>
  </conditionalFormatting>
  <conditionalFormatting sqref="I80">
    <cfRule type="expression" dxfId="25" priority="26">
      <formula>LEFT($A80,LEN("["))="["</formula>
    </cfRule>
  </conditionalFormatting>
  <conditionalFormatting sqref="I80">
    <cfRule type="expression" dxfId="24" priority="25">
      <formula>LEFT($A80,LEN(";"))=";"</formula>
    </cfRule>
  </conditionalFormatting>
  <conditionalFormatting sqref="O78:P78">
    <cfRule type="expression" dxfId="23" priority="24">
      <formula>LEFT($A79,LEN("["))="["</formula>
    </cfRule>
  </conditionalFormatting>
  <conditionalFormatting sqref="O78:P78">
    <cfRule type="expression" dxfId="22" priority="23">
      <formula>LEFT($A79,LEN(";"))=";"</formula>
    </cfRule>
  </conditionalFormatting>
  <conditionalFormatting sqref="I81:I89">
    <cfRule type="expression" dxfId="21" priority="22">
      <formula>LEFT($A81,LEN("["))="["</formula>
    </cfRule>
  </conditionalFormatting>
  <conditionalFormatting sqref="I81:I89">
    <cfRule type="expression" dxfId="20" priority="21">
      <formula>LEFT($A81,LEN(";"))=";"</formula>
    </cfRule>
  </conditionalFormatting>
  <conditionalFormatting sqref="Q80">
    <cfRule type="cellIs" dxfId="19" priority="19" stopIfTrue="1" operator="lessThan">
      <formula>0</formula>
    </cfRule>
    <cfRule type="cellIs" dxfId="18" priority="20" stopIfTrue="1" operator="greaterThan">
      <formula>0</formula>
    </cfRule>
  </conditionalFormatting>
  <conditionalFormatting sqref="R78">
    <cfRule type="expression" dxfId="17" priority="18">
      <formula>LEFT($A78,LEN("["))="["</formula>
    </cfRule>
  </conditionalFormatting>
  <conditionalFormatting sqref="R78">
    <cfRule type="expression" dxfId="16" priority="17">
      <formula>LEFT($A78,LEN(";"))=";"</formula>
    </cfRule>
  </conditionalFormatting>
  <conditionalFormatting sqref="S78:T78">
    <cfRule type="expression" dxfId="15" priority="16">
      <formula>LEFT($A79,LEN("["))="["</formula>
    </cfRule>
  </conditionalFormatting>
  <conditionalFormatting sqref="S78:T78">
    <cfRule type="expression" dxfId="14" priority="15">
      <formula>LEFT($A79,LEN(";"))=";"</formula>
    </cfRule>
  </conditionalFormatting>
  <conditionalFormatting sqref="V78">
    <cfRule type="expression" dxfId="13" priority="14">
      <formula>LEFT($A79,LEN("["))="["</formula>
    </cfRule>
  </conditionalFormatting>
  <conditionalFormatting sqref="V78">
    <cfRule type="expression" dxfId="12" priority="13">
      <formula>LEFT($A79,LEN(";"))=";"</formula>
    </cfRule>
  </conditionalFormatting>
  <conditionalFormatting sqref="S80">
    <cfRule type="expression" dxfId="11" priority="12">
      <formula>LEFT($A80,LEN("["))="["</formula>
    </cfRule>
  </conditionalFormatting>
  <conditionalFormatting sqref="S80">
    <cfRule type="expression" dxfId="10" priority="11">
      <formula>LEFT($A80,LEN(";"))=";"</formula>
    </cfRule>
  </conditionalFormatting>
  <conditionalFormatting sqref="Y78:Z78">
    <cfRule type="expression" dxfId="9" priority="10">
      <formula>LEFT($A79,LEN("["))="["</formula>
    </cfRule>
  </conditionalFormatting>
  <conditionalFormatting sqref="Y78:Z78">
    <cfRule type="expression" dxfId="8" priority="9">
      <formula>LEFT($A79,LEN(";"))=";"</formula>
    </cfRule>
  </conditionalFormatting>
  <conditionalFormatting sqref="S81:S89">
    <cfRule type="expression" dxfId="7" priority="8">
      <formula>LEFT($A81,LEN("["))="["</formula>
    </cfRule>
  </conditionalFormatting>
  <conditionalFormatting sqref="S81:S89">
    <cfRule type="expression" dxfId="6" priority="7">
      <formula>LEFT($A81,LEN(";"))=";"</formula>
    </cfRule>
  </conditionalFormatting>
  <conditionalFormatting sqref="AA80">
    <cfRule type="cellIs" dxfId="5" priority="5" stopIfTrue="1" operator="lessThan">
      <formula>0</formula>
    </cfRule>
    <cfRule type="cellIs" dxfId="4" priority="6" stopIfTrue="1" operator="greaterThan">
      <formula>0</formula>
    </cfRule>
  </conditionalFormatting>
  <conditionalFormatting sqref="Q81:Q89">
    <cfRule type="cellIs" dxfId="3" priority="3" stopIfTrue="1" operator="lessThan">
      <formula>0</formula>
    </cfRule>
    <cfRule type="cellIs" dxfId="2" priority="4" stopIfTrue="1" operator="greaterThan">
      <formula>0</formula>
    </cfRule>
  </conditionalFormatting>
  <conditionalFormatting sqref="AA81:AA89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dataValidations disablePrompts="1" count="1">
    <dataValidation type="list" allowBlank="1" showInputMessage="1" sqref="F19">
      <formula1>coeff_k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I43" sqref="I43"/>
    </sheetView>
  </sheetViews>
  <sheetFormatPr baseColWidth="10" defaultRowHeight="15" x14ac:dyDescent="0.25"/>
  <sheetData>
    <row r="1" spans="1:7" x14ac:dyDescent="0.25">
      <c r="A1" s="98" t="s">
        <v>90</v>
      </c>
      <c r="B1" s="97"/>
      <c r="C1" s="97"/>
      <c r="D1" s="97"/>
      <c r="E1" s="97"/>
      <c r="F1" s="97"/>
      <c r="G1" s="97"/>
    </row>
    <row r="2" spans="1:7" x14ac:dyDescent="0.25">
      <c r="A2" s="100" t="s">
        <v>91</v>
      </c>
      <c r="B2" s="100" t="s">
        <v>58</v>
      </c>
      <c r="C2" s="105" t="s">
        <v>89</v>
      </c>
      <c r="D2" s="100" t="s">
        <v>92</v>
      </c>
      <c r="E2" s="105" t="s">
        <v>93</v>
      </c>
      <c r="F2" s="105" t="s">
        <v>94</v>
      </c>
      <c r="G2" s="100" t="s">
        <v>85</v>
      </c>
    </row>
    <row r="3" spans="1:7" x14ac:dyDescent="0.25">
      <c r="A3" s="101" t="s">
        <v>60</v>
      </c>
      <c r="B3" s="101" t="s">
        <v>61</v>
      </c>
      <c r="C3" s="99" t="s">
        <v>61</v>
      </c>
      <c r="D3" s="101" t="s">
        <v>61</v>
      </c>
      <c r="E3" s="99" t="s">
        <v>61</v>
      </c>
      <c r="F3" s="99" t="s">
        <v>61</v>
      </c>
      <c r="G3" s="101" t="s">
        <v>61</v>
      </c>
    </row>
    <row r="4" spans="1:7" x14ac:dyDescent="0.25">
      <c r="A4" s="101" t="s">
        <v>79</v>
      </c>
      <c r="B4" s="101" t="s">
        <v>80</v>
      </c>
      <c r="C4" s="99" t="s">
        <v>80</v>
      </c>
      <c r="D4" s="101" t="s">
        <v>80</v>
      </c>
      <c r="E4" s="99" t="s">
        <v>80</v>
      </c>
      <c r="F4" s="99" t="s">
        <v>80</v>
      </c>
      <c r="G4" s="101" t="s">
        <v>80</v>
      </c>
    </row>
    <row r="5" spans="1:7" x14ac:dyDescent="0.25">
      <c r="A5" s="101">
        <v>5</v>
      </c>
      <c r="B5" s="101">
        <v>2.9</v>
      </c>
      <c r="C5" s="99">
        <v>4.8</v>
      </c>
      <c r="D5" s="101">
        <v>9</v>
      </c>
      <c r="E5" s="99">
        <v>16.7</v>
      </c>
      <c r="F5" s="99">
        <v>31.6</v>
      </c>
      <c r="G5" s="101">
        <v>56.8</v>
      </c>
    </row>
    <row r="6" spans="1:7" x14ac:dyDescent="0.25">
      <c r="A6" s="101">
        <v>10</v>
      </c>
      <c r="B6" s="101">
        <v>4.2</v>
      </c>
      <c r="C6" s="99">
        <v>6.8</v>
      </c>
      <c r="D6" s="101">
        <v>12.8</v>
      </c>
      <c r="E6" s="99">
        <v>23.7</v>
      </c>
      <c r="F6" s="99">
        <v>44.9</v>
      </c>
      <c r="G6" s="101">
        <v>80.599999999999994</v>
      </c>
    </row>
    <row r="7" spans="1:7" x14ac:dyDescent="0.25">
      <c r="A7" s="101">
        <v>15</v>
      </c>
      <c r="B7" s="101">
        <v>5.0999999999999996</v>
      </c>
      <c r="C7" s="99">
        <v>8.3000000000000007</v>
      </c>
      <c r="D7" s="101">
        <v>15.7</v>
      </c>
      <c r="E7" s="99">
        <v>29.1</v>
      </c>
      <c r="F7" s="99">
        <v>55</v>
      </c>
      <c r="G7" s="101">
        <v>98.8</v>
      </c>
    </row>
    <row r="8" spans="1:7" x14ac:dyDescent="0.25">
      <c r="A8" s="101">
        <v>20</v>
      </c>
      <c r="B8" s="101">
        <v>5.9</v>
      </c>
      <c r="C8" s="99">
        <v>9.6</v>
      </c>
      <c r="D8" s="101">
        <v>18.2</v>
      </c>
      <c r="E8" s="99">
        <v>33.6</v>
      </c>
      <c r="F8" s="99">
        <v>63.6</v>
      </c>
      <c r="G8" s="101">
        <v>114.2</v>
      </c>
    </row>
    <row r="9" spans="1:7" x14ac:dyDescent="0.25">
      <c r="A9" s="101">
        <v>25</v>
      </c>
      <c r="B9" s="101">
        <v>6.7</v>
      </c>
      <c r="C9" s="99">
        <v>10.8</v>
      </c>
      <c r="D9" s="101">
        <v>20.3</v>
      </c>
      <c r="E9" s="99">
        <v>37.6</v>
      </c>
      <c r="F9" s="99">
        <v>71.099999999999994</v>
      </c>
      <c r="G9" s="101">
        <v>127.7</v>
      </c>
    </row>
    <row r="10" spans="1:7" x14ac:dyDescent="0.25">
      <c r="A10" s="101">
        <v>30</v>
      </c>
      <c r="B10" s="101">
        <v>7.3</v>
      </c>
      <c r="C10" s="99">
        <v>11.8</v>
      </c>
      <c r="D10" s="101">
        <v>22.3</v>
      </c>
      <c r="E10" s="99">
        <v>41.2</v>
      </c>
      <c r="F10" s="99">
        <v>77.900000000000006</v>
      </c>
      <c r="G10" s="101">
        <v>140</v>
      </c>
    </row>
    <row r="11" spans="1:7" x14ac:dyDescent="0.25">
      <c r="A11" s="101">
        <v>35</v>
      </c>
      <c r="B11" s="101">
        <v>7.9</v>
      </c>
      <c r="C11" s="99">
        <v>12.8</v>
      </c>
      <c r="D11" s="101">
        <v>24.1</v>
      </c>
      <c r="E11" s="99">
        <v>44.5</v>
      </c>
      <c r="F11" s="99">
        <v>84.2</v>
      </c>
      <c r="G11" s="101">
        <v>151.19999999999999</v>
      </c>
    </row>
    <row r="12" spans="1:7" x14ac:dyDescent="0.25">
      <c r="A12" s="101">
        <v>40</v>
      </c>
      <c r="B12" s="101">
        <v>8.4</v>
      </c>
      <c r="C12" s="99">
        <v>13.7</v>
      </c>
      <c r="D12" s="101">
        <v>25.8</v>
      </c>
      <c r="E12" s="99">
        <v>47.6</v>
      </c>
      <c r="F12" s="99">
        <v>90</v>
      </c>
      <c r="G12" s="101">
        <v>161.69999999999999</v>
      </c>
    </row>
    <row r="13" spans="1:7" x14ac:dyDescent="0.25">
      <c r="A13" s="101">
        <v>45</v>
      </c>
      <c r="B13" s="101">
        <v>8.9</v>
      </c>
      <c r="C13" s="99">
        <v>14.5</v>
      </c>
      <c r="D13" s="101">
        <v>27.3</v>
      </c>
      <c r="E13" s="99">
        <v>50.5</v>
      </c>
      <c r="F13" s="99">
        <v>95.5</v>
      </c>
      <c r="G13" s="101">
        <v>171.5</v>
      </c>
    </row>
    <row r="14" spans="1:7" x14ac:dyDescent="0.25">
      <c r="A14" s="103">
        <v>50</v>
      </c>
      <c r="B14" s="103">
        <v>9.4</v>
      </c>
      <c r="C14" s="106">
        <v>15.3</v>
      </c>
      <c r="D14" s="103">
        <v>28.8</v>
      </c>
      <c r="E14" s="106">
        <v>53.3</v>
      </c>
      <c r="F14" s="106">
        <v>100.7</v>
      </c>
      <c r="G14" s="103">
        <v>180.8</v>
      </c>
    </row>
    <row r="16" spans="1:7" x14ac:dyDescent="0.25">
      <c r="A16" s="98" t="s">
        <v>90</v>
      </c>
      <c r="B16" s="97"/>
      <c r="C16" s="97"/>
      <c r="D16" s="97"/>
      <c r="E16" s="97"/>
      <c r="F16" s="97"/>
      <c r="G16" s="97"/>
    </row>
    <row r="17" spans="1:7" x14ac:dyDescent="0.25">
      <c r="A17" s="100" t="s">
        <v>91</v>
      </c>
      <c r="B17" s="100" t="s">
        <v>58</v>
      </c>
      <c r="C17" s="105" t="s">
        <v>89</v>
      </c>
      <c r="D17" s="100" t="s">
        <v>92</v>
      </c>
      <c r="E17" s="105" t="s">
        <v>93</v>
      </c>
      <c r="F17" s="105" t="s">
        <v>94</v>
      </c>
      <c r="G17" s="100" t="s">
        <v>85</v>
      </c>
    </row>
    <row r="18" spans="1:7" x14ac:dyDescent="0.25">
      <c r="A18" s="101" t="s">
        <v>60</v>
      </c>
      <c r="B18" s="102" t="s">
        <v>62</v>
      </c>
      <c r="C18" s="99" t="s">
        <v>62</v>
      </c>
      <c r="D18" s="102" t="s">
        <v>62</v>
      </c>
      <c r="E18" s="99" t="s">
        <v>62</v>
      </c>
      <c r="F18" s="99" t="s">
        <v>62</v>
      </c>
      <c r="G18" s="102" t="s">
        <v>62</v>
      </c>
    </row>
    <row r="19" spans="1:7" x14ac:dyDescent="0.25">
      <c r="A19" s="101" t="s">
        <v>79</v>
      </c>
      <c r="B19" s="102" t="s">
        <v>81</v>
      </c>
      <c r="C19" s="99" t="s">
        <v>81</v>
      </c>
      <c r="D19" s="102" t="s">
        <v>81</v>
      </c>
      <c r="E19" s="99" t="s">
        <v>81</v>
      </c>
      <c r="F19" s="99" t="s">
        <v>81</v>
      </c>
      <c r="G19" s="102" t="s">
        <v>81</v>
      </c>
    </row>
    <row r="20" spans="1:7" x14ac:dyDescent="0.25">
      <c r="A20" s="101">
        <v>5</v>
      </c>
      <c r="B20" s="102">
        <v>0.5</v>
      </c>
      <c r="C20" s="99">
        <v>0.6</v>
      </c>
      <c r="D20" s="102">
        <v>0.7</v>
      </c>
      <c r="E20" s="99">
        <v>0.8</v>
      </c>
      <c r="F20" s="99">
        <v>1</v>
      </c>
      <c r="G20" s="102">
        <v>1.1000000000000001</v>
      </c>
    </row>
    <row r="21" spans="1:7" x14ac:dyDescent="0.25">
      <c r="A21" s="101">
        <v>10</v>
      </c>
      <c r="B21" s="102">
        <v>0.8</v>
      </c>
      <c r="C21" s="99">
        <v>0.9</v>
      </c>
      <c r="D21" s="102">
        <v>1</v>
      </c>
      <c r="E21" s="99">
        <v>1.2</v>
      </c>
      <c r="F21" s="99">
        <v>1.4</v>
      </c>
      <c r="G21" s="102">
        <v>1.6</v>
      </c>
    </row>
    <row r="22" spans="1:7" x14ac:dyDescent="0.25">
      <c r="A22" s="101">
        <v>15</v>
      </c>
      <c r="B22" s="102">
        <v>1</v>
      </c>
      <c r="C22" s="99">
        <v>1.1000000000000001</v>
      </c>
      <c r="D22" s="102">
        <v>1.3</v>
      </c>
      <c r="E22" s="99">
        <v>1.5</v>
      </c>
      <c r="F22" s="99">
        <v>1.7</v>
      </c>
      <c r="G22" s="102">
        <v>2</v>
      </c>
    </row>
    <row r="23" spans="1:7" x14ac:dyDescent="0.25">
      <c r="A23" s="101">
        <v>20</v>
      </c>
      <c r="B23" s="102">
        <v>1.1000000000000001</v>
      </c>
      <c r="C23" s="99">
        <v>1.2</v>
      </c>
      <c r="D23" s="102">
        <v>1.5</v>
      </c>
      <c r="E23" s="99">
        <v>1.7</v>
      </c>
      <c r="F23" s="99">
        <v>2</v>
      </c>
      <c r="G23" s="102">
        <v>2.2999999999999998</v>
      </c>
    </row>
    <row r="24" spans="1:7" x14ac:dyDescent="0.25">
      <c r="A24" s="101">
        <v>25</v>
      </c>
      <c r="B24" s="102">
        <v>1.2</v>
      </c>
      <c r="C24" s="99">
        <v>1.4</v>
      </c>
      <c r="D24" s="102">
        <v>1.6</v>
      </c>
      <c r="E24" s="99">
        <v>1.9</v>
      </c>
      <c r="F24" s="99">
        <v>2.2000000000000002</v>
      </c>
      <c r="G24" s="102">
        <v>2.6</v>
      </c>
    </row>
    <row r="25" spans="1:7" x14ac:dyDescent="0.25">
      <c r="A25" s="101">
        <v>30</v>
      </c>
      <c r="B25" s="102">
        <v>1.3</v>
      </c>
      <c r="C25" s="99">
        <v>1.5</v>
      </c>
      <c r="D25" s="102">
        <v>1.8</v>
      </c>
      <c r="E25" s="99">
        <v>2.1</v>
      </c>
      <c r="F25" s="99">
        <v>2.4</v>
      </c>
      <c r="G25" s="102">
        <v>2.8</v>
      </c>
    </row>
    <row r="26" spans="1:7" x14ac:dyDescent="0.25">
      <c r="A26" s="101">
        <v>35</v>
      </c>
      <c r="B26" s="102">
        <v>1.5</v>
      </c>
      <c r="C26" s="99">
        <v>1.6</v>
      </c>
      <c r="D26" s="102">
        <v>1.9</v>
      </c>
      <c r="E26" s="99">
        <v>2.2000000000000002</v>
      </c>
      <c r="F26" s="99">
        <v>2.6</v>
      </c>
      <c r="G26" s="102">
        <v>3</v>
      </c>
    </row>
    <row r="27" spans="1:7" x14ac:dyDescent="0.25">
      <c r="A27" s="101">
        <v>40</v>
      </c>
      <c r="B27" s="102">
        <v>1.6</v>
      </c>
      <c r="C27" s="99">
        <v>1.8</v>
      </c>
      <c r="D27" s="102">
        <v>2.1</v>
      </c>
      <c r="E27" s="99">
        <v>2.4</v>
      </c>
      <c r="F27" s="99">
        <v>2.8</v>
      </c>
      <c r="G27" s="102">
        <v>3.2</v>
      </c>
    </row>
    <row r="28" spans="1:7" x14ac:dyDescent="0.25">
      <c r="A28" s="101">
        <v>45</v>
      </c>
      <c r="B28" s="102">
        <v>1.7</v>
      </c>
      <c r="C28" s="99">
        <v>1.9</v>
      </c>
      <c r="D28" s="102">
        <v>2.2000000000000002</v>
      </c>
      <c r="E28" s="99">
        <v>2.5</v>
      </c>
      <c r="F28" s="99">
        <v>3</v>
      </c>
      <c r="G28" s="102">
        <v>3.4</v>
      </c>
    </row>
    <row r="29" spans="1:7" x14ac:dyDescent="0.25">
      <c r="A29" s="103">
        <v>50</v>
      </c>
      <c r="B29" s="104">
        <v>1.7</v>
      </c>
      <c r="C29" s="106">
        <v>2</v>
      </c>
      <c r="D29" s="104">
        <v>2.2999999999999998</v>
      </c>
      <c r="E29" s="106">
        <v>2.7</v>
      </c>
      <c r="F29" s="106">
        <v>3.1</v>
      </c>
      <c r="G29" s="104">
        <v>3.6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Feuil1</vt:lpstr>
      <vt:lpstr>Feuil2</vt:lpstr>
      <vt:lpstr>Feuil1!_V</vt:lpstr>
      <vt:lpstr>Feuil1!D</vt:lpstr>
      <vt:lpstr>Feuil1!g</vt:lpstr>
      <vt:lpstr>Feuil1!k</vt:lpstr>
      <vt:lpstr>p</vt:lpstr>
      <vt:lpstr>Feuil1!S</vt:lpstr>
      <vt:lpstr>Feuil1!v</vt:lpstr>
    </vt:vector>
  </TitlesOfParts>
  <Company>G-EAUX</Company>
  <LinksUpToDate>false</LinksUpToDate>
  <SharedDoc>false</SharedDoc>
  <HyperlinkBase>http://www.g-eaux.com/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DTU 60.11 colebrook-white</dc:title>
  <dc:creator>Gerald</dc:creator>
  <cp:keywords>DTU 60.11</cp:keywords>
  <cp:lastModifiedBy>Gerald</cp:lastModifiedBy>
  <dcterms:created xsi:type="dcterms:W3CDTF">2016-11-03T17:14:08Z</dcterms:created>
  <dcterms:modified xsi:type="dcterms:W3CDTF">2016-11-04T08:21:29Z</dcterms:modified>
</cp:coreProperties>
</file>